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7"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面积表" sheetId="70"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剩余法-待开发 (2)" sheetId="69" state="hidden" r:id="rId31"/>
    <sheet name="不动产比较法-高层" sheetId="21" r:id="rId32"/>
    <sheet name="不动产比较法-洋房" sheetId="75" r:id="rId33"/>
    <sheet name="不动产收益法底商" sheetId="15" r:id="rId34"/>
    <sheet name="酒店收入计算" sheetId="57" state="hidden" r:id="rId35"/>
    <sheet name="成本逼近法" sheetId="1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不动产收益法独商" sheetId="71" r:id="rId44"/>
    <sheet name="不动产收益法办公" sheetId="72" r:id="rId45"/>
    <sheet name="不动产收益法厂" sheetId="73" state="hidden" r:id="rId46"/>
    <sheet name="不动产收益法车" sheetId="74" r:id="rId47"/>
    <sheet name="土地案例" sheetId="68" r:id="rId48"/>
    <sheet name="Sheet1" sheetId="76" r:id="rId49"/>
  </sheets>
  <definedNames>
    <definedName name="_xlnm._FilterDatabase" localSheetId="21"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1" hidden="1">'不动产比较法-高层'!$A$1:$L$49</definedName>
    <definedName name="_xlnm._FilterDatabase" localSheetId="38" hidden="1">'不动产比较法-工业'!$A$1:$L$43</definedName>
    <definedName name="_xlnm._FilterDatabase" localSheetId="36" hidden="1">'不动产比较法-商业'!$A$1:$L$49</definedName>
    <definedName name="_xlnm._FilterDatabase" localSheetId="32" hidden="1">'不动产比较法-洋房'!$A$1:$L$49</definedName>
    <definedName name="_xlnm._FilterDatabase" localSheetId="11" hidden="1">'数据-基础表'!$A$12:$AT$572</definedName>
    <definedName name="_xlnm._FilterDatabase" localSheetId="9" hidden="1">项目基本情况!$A$48:$N$48</definedName>
    <definedName name="_Toc493232883" localSheetId="48">Sheet1!$F$16</definedName>
    <definedName name="_xlnm.Print_Area" localSheetId="18">'比较法-住宅、综合'!$A$1:$K$50</definedName>
    <definedName name="_xlnm.Print_Area" localSheetId="31">'不动产比较法-高层'!$A$1:$J$49</definedName>
    <definedName name="_xlnm.Print_Area" localSheetId="32">'不动产比较法-洋房'!$A$1:$J$49</definedName>
    <definedName name="_xlnm.Print_Area" localSheetId="44">不动产收益法办公!$A$1:$F$43</definedName>
    <definedName name="_xlnm.Print_Area" localSheetId="45">不动产收益法厂!$A$1:$F$43</definedName>
    <definedName name="_xlnm.Print_Area" localSheetId="46">不动产收益法车!$A$1:$F$43</definedName>
    <definedName name="_xlnm.Print_Area" localSheetId="33">不动产收益法底商!$A$1:$F$43</definedName>
    <definedName name="_xlnm.Print_Area" localSheetId="43">不动产收益法独商!$A$1:$F$43</definedName>
    <definedName name="_xlnm.Print_Area" localSheetId="17">结果表!$A$1:$I$60</definedName>
    <definedName name="_xlnm.Print_Area" localSheetId="19">'剩余法-待开发'!$A$1:$K$36</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2">'不动产比较法-洋房'!$B$88:$M$88</definedName>
    <definedName name="住宅朝向">'不动产比较法-高层'!$B$88:$M$88</definedName>
    <definedName name="住宅房型" localSheetId="32">'不动产比较法-洋房'!$B$118:$M$118</definedName>
    <definedName name="住宅房型">'不动产比较法-高层'!$B$118:$M$118</definedName>
    <definedName name="住宅公共部分装修" localSheetId="32">'不动产比较法-洋房'!$B$109:$M$109</definedName>
    <definedName name="住宅公共部分装修">'不动产比较法-高层'!$B$109:$M$109</definedName>
    <definedName name="住宅基础设施水平" localSheetId="32">'不动产比较法-洋房'!$B$116:$M$116</definedName>
    <definedName name="住宅基础设施水平">'不动产比较法-高层'!$B$116:$M$116</definedName>
    <definedName name="住宅建筑结构" localSheetId="32">'不动产比较法-洋房'!$B$105:$M$105</definedName>
    <definedName name="住宅建筑结构">'不动产比较法-高层'!$B$105:$M$105</definedName>
    <definedName name="住宅建筑类型" localSheetId="32">'不动产比较法-洋房'!$B$100:$M$100</definedName>
    <definedName name="住宅建筑类型">'不动产比较法-高层'!$B$100:$M$100</definedName>
    <definedName name="住宅建筑品质" localSheetId="32">'不动产比较法-洋房'!$B$107:$M$107</definedName>
    <definedName name="住宅建筑品质">'不动产比较法-高层'!$B$107:$M$107</definedName>
    <definedName name="住宅交易情况" localSheetId="32">'不动产比较法-洋房'!$A$61:$M$61</definedName>
    <definedName name="住宅交易情况">'不动产比较法-高层'!$A$61:$M$61</definedName>
    <definedName name="住宅楼层" localSheetId="32">'不动产比较法-洋房'!$B$86:$M$86</definedName>
    <definedName name="住宅楼层">'不动产比较法-高层'!$B$86:$M$86</definedName>
    <definedName name="住宅内部装修" localSheetId="32">'不动产比较法-洋房'!$B$122:$M$122</definedName>
    <definedName name="住宅内部装修">'不动产比较法-高层'!$B$122:$M$122</definedName>
    <definedName name="住宅物业管理" localSheetId="32">'不动产比较法-洋房'!$B$114:$M$114</definedName>
    <definedName name="住宅物业管理">'不动产比较法-高层'!$B$114:$M$114</definedName>
    <definedName name="住宅用途" localSheetId="32">'不动产比较法-洋房'!$B$63:$M$63</definedName>
    <definedName name="住宅用途">'不动产比较法-高层'!$B$63:$M$63</definedName>
    <definedName name="住宅主力户型面积" localSheetId="32">'不动产比较法-洋房'!$B$120:$M$120</definedName>
    <definedName name="住宅主力户型面积">'不动产比较法-高层'!$B$120:$M$120</definedName>
    <definedName name="注册房地产估价师">估价师及机构信息!$A$3:$A$24</definedName>
  </definedNames>
  <calcPr calcId="144525"/>
</workbook>
</file>

<file path=xl/calcChain.xml><?xml version="1.0" encoding="utf-8"?>
<calcChain xmlns="http://schemas.openxmlformats.org/spreadsheetml/2006/main">
  <c r="R56" i="76" l="1"/>
  <c r="R55" i="76"/>
  <c r="O52" i="76"/>
  <c r="N53" i="76"/>
  <c r="N55" i="76" s="1"/>
  <c r="N54" i="76"/>
  <c r="N52" i="76"/>
  <c r="H24" i="76" l="1"/>
  <c r="H25" i="76"/>
  <c r="H23" i="76"/>
  <c r="G24" i="76"/>
  <c r="G25" i="76"/>
  <c r="G23" i="76"/>
  <c r="H26" i="76" l="1"/>
  <c r="I25" i="76" s="1"/>
  <c r="N55" i="70"/>
  <c r="I16" i="70"/>
  <c r="E57" i="70"/>
  <c r="F57" i="70"/>
  <c r="G57" i="70"/>
  <c r="H57" i="70"/>
  <c r="I57" i="70"/>
  <c r="J57" i="70"/>
  <c r="K57" i="70"/>
  <c r="M57" i="70"/>
  <c r="N57" i="70"/>
  <c r="N56" i="70"/>
  <c r="M56" i="70"/>
  <c r="I56" i="70"/>
  <c r="J56" i="70"/>
  <c r="D19" i="70"/>
  <c r="M55" i="70"/>
  <c r="L55" i="70"/>
  <c r="L57" i="70" s="1"/>
  <c r="E54" i="70"/>
  <c r="F54" i="70"/>
  <c r="G54" i="70"/>
  <c r="H54" i="70"/>
  <c r="I54" i="70"/>
  <c r="J54" i="70"/>
  <c r="K54" i="70"/>
  <c r="L54" i="70"/>
  <c r="M54" i="70"/>
  <c r="N54" i="70"/>
  <c r="D13" i="70"/>
  <c r="N44" i="70"/>
  <c r="N45" i="70"/>
  <c r="N50" i="70"/>
  <c r="N51" i="70"/>
  <c r="N52" i="70"/>
  <c r="N43" i="70"/>
  <c r="M43" i="70"/>
  <c r="H55" i="70"/>
  <c r="H44" i="70"/>
  <c r="H43" i="70"/>
  <c r="F55" i="70"/>
  <c r="G55" i="70"/>
  <c r="E48" i="70"/>
  <c r="E49" i="70"/>
  <c r="E50" i="70"/>
  <c r="E51" i="70"/>
  <c r="E52" i="70"/>
  <c r="E53" i="70"/>
  <c r="E55" i="70"/>
  <c r="E56" i="70"/>
  <c r="L45" i="70"/>
  <c r="L46" i="70"/>
  <c r="L47" i="70"/>
  <c r="L48" i="70"/>
  <c r="L49" i="70"/>
  <c r="L50" i="70"/>
  <c r="L51" i="70"/>
  <c r="L52" i="70"/>
  <c r="D52" i="70" s="1"/>
  <c r="L53" i="70"/>
  <c r="D53" i="70" s="1"/>
  <c r="L56" i="70"/>
  <c r="D56" i="70" s="1"/>
  <c r="L43" i="70"/>
  <c r="K56" i="70"/>
  <c r="K55" i="70"/>
  <c r="K53" i="70"/>
  <c r="F44" i="70"/>
  <c r="J44" i="70"/>
  <c r="E44" i="70" s="1"/>
  <c r="M44" i="70"/>
  <c r="F45" i="70"/>
  <c r="G45" i="70"/>
  <c r="J45" i="70"/>
  <c r="E45" i="70" s="1"/>
  <c r="D45" i="70" s="1"/>
  <c r="M45" i="70"/>
  <c r="F46" i="70"/>
  <c r="G46" i="70"/>
  <c r="J46" i="70"/>
  <c r="E46" i="70" s="1"/>
  <c r="M46" i="70"/>
  <c r="F47" i="70"/>
  <c r="G47" i="70"/>
  <c r="J47" i="70"/>
  <c r="E47" i="70" s="1"/>
  <c r="M47" i="70"/>
  <c r="F48" i="70"/>
  <c r="G48" i="70"/>
  <c r="M48" i="70"/>
  <c r="F49" i="70"/>
  <c r="G49" i="70"/>
  <c r="M49" i="70"/>
  <c r="F50" i="70"/>
  <c r="G50" i="70"/>
  <c r="M50" i="70"/>
  <c r="F51" i="70"/>
  <c r="G51" i="70"/>
  <c r="M51" i="70"/>
  <c r="F43" i="70"/>
  <c r="J43" i="70"/>
  <c r="G43" i="70"/>
  <c r="F41" i="70"/>
  <c r="C44" i="70"/>
  <c r="C45" i="70"/>
  <c r="C46" i="70"/>
  <c r="C47" i="70"/>
  <c r="C48" i="70"/>
  <c r="C49" i="70"/>
  <c r="C50" i="70"/>
  <c r="C51" i="70"/>
  <c r="C52" i="70"/>
  <c r="C53" i="70"/>
  <c r="C55" i="70"/>
  <c r="C56" i="70"/>
  <c r="C43" i="70"/>
  <c r="I23" i="76" l="1"/>
  <c r="I24" i="76"/>
  <c r="D51" i="70"/>
  <c r="D49" i="70"/>
  <c r="L44" i="70"/>
  <c r="E43" i="70"/>
  <c r="D43" i="70" s="1"/>
  <c r="D50" i="70"/>
  <c r="D44" i="70"/>
  <c r="D47" i="70"/>
  <c r="D48" i="70"/>
  <c r="D46" i="70"/>
  <c r="D55" i="70"/>
  <c r="D57" i="70" s="1"/>
  <c r="A3" i="3"/>
  <c r="K7" i="70"/>
  <c r="E27" i="21"/>
  <c r="G17" i="4"/>
  <c r="D54" i="70" l="1"/>
  <c r="I27" i="21"/>
  <c r="I27" i="75"/>
  <c r="L9" i="1"/>
  <c r="H45" i="6"/>
  <c r="H41" i="6"/>
  <c r="H40" i="6"/>
  <c r="H39" i="6"/>
  <c r="F37" i="6"/>
  <c r="K42" i="75" l="1"/>
  <c r="P19" i="70" l="1"/>
  <c r="P20" i="70"/>
  <c r="O20" i="70" s="1"/>
  <c r="AN15" i="3" s="1"/>
  <c r="C145" i="75" l="1"/>
  <c r="J142" i="75"/>
  <c r="J140" i="75"/>
  <c r="K145" i="75" s="1"/>
  <c r="K139" i="75"/>
  <c r="K141" i="75" s="1"/>
  <c r="B130" i="75"/>
  <c r="B128" i="75"/>
  <c r="B126" i="75"/>
  <c r="E125" i="75"/>
  <c r="F125" i="75" s="1"/>
  <c r="G125" i="75" s="1"/>
  <c r="D125" i="75"/>
  <c r="D123" i="75"/>
  <c r="E123" i="75" s="1"/>
  <c r="F123" i="75" s="1"/>
  <c r="G123" i="75" s="1"/>
  <c r="H123" i="75" s="1"/>
  <c r="I123" i="75" s="1"/>
  <c r="J123" i="75" s="1"/>
  <c r="K123" i="75" s="1"/>
  <c r="L123" i="75" s="1"/>
  <c r="M123" i="75" s="1"/>
  <c r="D119" i="75"/>
  <c r="E119" i="75" s="1"/>
  <c r="F119" i="75" s="1"/>
  <c r="G119" i="75" s="1"/>
  <c r="H119" i="75" s="1"/>
  <c r="I119" i="75" s="1"/>
  <c r="J119" i="75" s="1"/>
  <c r="K119" i="75" s="1"/>
  <c r="L119" i="75" s="1"/>
  <c r="M119" i="75" s="1"/>
  <c r="D117" i="75"/>
  <c r="E117" i="75" s="1"/>
  <c r="F117" i="75" s="1"/>
  <c r="G117" i="75" s="1"/>
  <c r="D115" i="75"/>
  <c r="E115" i="75" s="1"/>
  <c r="F115" i="75" s="1"/>
  <c r="G115" i="75" s="1"/>
  <c r="H115" i="75" s="1"/>
  <c r="I115" i="75" s="1"/>
  <c r="J115" i="75" s="1"/>
  <c r="K115" i="75" s="1"/>
  <c r="L115" i="75" s="1"/>
  <c r="M115" i="75" s="1"/>
  <c r="D113" i="75"/>
  <c r="E113" i="75" s="1"/>
  <c r="F113" i="75" s="1"/>
  <c r="G113" i="75" s="1"/>
  <c r="H113" i="75" s="1"/>
  <c r="H111" i="75"/>
  <c r="G111" i="75"/>
  <c r="F111" i="75"/>
  <c r="E111" i="75"/>
  <c r="D111" i="75"/>
  <c r="C111" i="75"/>
  <c r="D110" i="75"/>
  <c r="E110" i="75" s="1"/>
  <c r="F110" i="75" s="1"/>
  <c r="G110" i="75" s="1"/>
  <c r="H110" i="75" s="1"/>
  <c r="I110" i="75" s="1"/>
  <c r="J110" i="75" s="1"/>
  <c r="K110" i="75" s="1"/>
  <c r="L110" i="75" s="1"/>
  <c r="M110" i="75" s="1"/>
  <c r="D108" i="75"/>
  <c r="E108" i="75" s="1"/>
  <c r="F108" i="75" s="1"/>
  <c r="G108" i="75" s="1"/>
  <c r="H108" i="75" s="1"/>
  <c r="I108" i="75" s="1"/>
  <c r="J108" i="75" s="1"/>
  <c r="K108" i="75" s="1"/>
  <c r="L108" i="75" s="1"/>
  <c r="M108" i="75" s="1"/>
  <c r="D106" i="75"/>
  <c r="E106" i="75" s="1"/>
  <c r="F106" i="75" s="1"/>
  <c r="G106" i="75" s="1"/>
  <c r="H106" i="75" s="1"/>
  <c r="I106" i="75" s="1"/>
  <c r="J106" i="75" s="1"/>
  <c r="K106" i="75" s="1"/>
  <c r="L106" i="75" s="1"/>
  <c r="M106" i="75" s="1"/>
  <c r="M102" i="75"/>
  <c r="L102" i="75"/>
  <c r="K102" i="75"/>
  <c r="J102" i="75"/>
  <c r="I102" i="75"/>
  <c r="H102" i="75"/>
  <c r="G102" i="75"/>
  <c r="F102" i="75"/>
  <c r="E102" i="75"/>
  <c r="D102" i="75"/>
  <c r="C102" i="75"/>
  <c r="D101" i="75"/>
  <c r="E101" i="75" s="1"/>
  <c r="F101" i="75" s="1"/>
  <c r="G101" i="75" s="1"/>
  <c r="H101" i="75" s="1"/>
  <c r="I101" i="75" s="1"/>
  <c r="J101" i="75" s="1"/>
  <c r="K101" i="75" s="1"/>
  <c r="L101" i="75" s="1"/>
  <c r="M101" i="75" s="1"/>
  <c r="B98" i="75"/>
  <c r="B96" i="75"/>
  <c r="B94" i="75"/>
  <c r="B92" i="75"/>
  <c r="B90" i="75"/>
  <c r="D89" i="75"/>
  <c r="E89" i="75" s="1"/>
  <c r="F89" i="75" s="1"/>
  <c r="G89" i="75" s="1"/>
  <c r="H89" i="75" s="1"/>
  <c r="I89" i="75" s="1"/>
  <c r="J89" i="75" s="1"/>
  <c r="K89" i="75" s="1"/>
  <c r="L89" i="75" s="1"/>
  <c r="M89" i="75" s="1"/>
  <c r="M87" i="75"/>
  <c r="L87" i="75"/>
  <c r="K87" i="75"/>
  <c r="J87" i="75"/>
  <c r="I87" i="75"/>
  <c r="H87" i="75"/>
  <c r="G87" i="75"/>
  <c r="F87" i="75"/>
  <c r="E87" i="75"/>
  <c r="D87" i="75"/>
  <c r="B74" i="75"/>
  <c r="B72" i="75"/>
  <c r="B70" i="75"/>
  <c r="E69" i="75"/>
  <c r="F69" i="75" s="1"/>
  <c r="G69" i="75" s="1"/>
  <c r="H69" i="75" s="1"/>
  <c r="I69" i="75" s="1"/>
  <c r="J69" i="75" s="1"/>
  <c r="K69" i="75" s="1"/>
  <c r="L69" i="75" s="1"/>
  <c r="M69" i="75" s="1"/>
  <c r="D69" i="75"/>
  <c r="M67" i="75"/>
  <c r="L67" i="75"/>
  <c r="K67" i="75"/>
  <c r="J67" i="75"/>
  <c r="I67" i="75"/>
  <c r="H67" i="75"/>
  <c r="G67" i="75"/>
  <c r="F67" i="75"/>
  <c r="E67" i="75"/>
  <c r="D67" i="75"/>
  <c r="C67" i="75"/>
  <c r="D66" i="75"/>
  <c r="E66" i="75" s="1"/>
  <c r="F66" i="75" s="1"/>
  <c r="G66" i="75" s="1"/>
  <c r="H66" i="75" s="1"/>
  <c r="I66" i="75" s="1"/>
  <c r="C63" i="75"/>
  <c r="P49" i="75"/>
  <c r="P48" i="75"/>
  <c r="P47" i="75"/>
  <c r="I47" i="75"/>
  <c r="I54" i="75" s="1"/>
  <c r="J54" i="75" s="1"/>
  <c r="G47" i="75"/>
  <c r="T47" i="75" s="1"/>
  <c r="E47" i="75"/>
  <c r="E54" i="75" s="1"/>
  <c r="F54" i="75" s="1"/>
  <c r="Q46" i="75"/>
  <c r="Z46" i="75" s="1"/>
  <c r="J46" i="75"/>
  <c r="AC46" i="75" s="1"/>
  <c r="H46" i="75"/>
  <c r="AB46" i="75" s="1"/>
  <c r="F46" i="75"/>
  <c r="AA46" i="75" s="1"/>
  <c r="Q45" i="75"/>
  <c r="Z45" i="75" s="1"/>
  <c r="J45" i="75"/>
  <c r="AC45" i="75" s="1"/>
  <c r="H45" i="75"/>
  <c r="AB45" i="75" s="1"/>
  <c r="F45" i="75"/>
  <c r="AA45" i="75" s="1"/>
  <c r="Q44" i="75"/>
  <c r="Z44" i="75" s="1"/>
  <c r="J44" i="75"/>
  <c r="AC44" i="75" s="1"/>
  <c r="H44" i="75"/>
  <c r="AB44" i="75" s="1"/>
  <c r="F44" i="75"/>
  <c r="AA44" i="75" s="1"/>
  <c r="Q43" i="75"/>
  <c r="Z43" i="75" s="1"/>
  <c r="J43" i="75"/>
  <c r="AC43" i="75" s="1"/>
  <c r="H43" i="75"/>
  <c r="AB43" i="75" s="1"/>
  <c r="F43" i="75"/>
  <c r="AA43" i="75" s="1"/>
  <c r="Q42" i="75"/>
  <c r="Z42" i="75" s="1"/>
  <c r="J42" i="75"/>
  <c r="AC42" i="75" s="1"/>
  <c r="F42" i="75"/>
  <c r="AA42" i="75" s="1"/>
  <c r="Q41" i="75"/>
  <c r="Z41" i="75" s="1"/>
  <c r="J41" i="75"/>
  <c r="AC41" i="75" s="1"/>
  <c r="H41" i="75"/>
  <c r="AB41" i="75" s="1"/>
  <c r="F41" i="75"/>
  <c r="AA41" i="75" s="1"/>
  <c r="Q40" i="75"/>
  <c r="Z40" i="75" s="1"/>
  <c r="J40" i="75"/>
  <c r="AC40" i="75" s="1"/>
  <c r="H40" i="75"/>
  <c r="AB40" i="75" s="1"/>
  <c r="F40" i="75"/>
  <c r="AA40" i="75" s="1"/>
  <c r="Q39" i="75"/>
  <c r="Z39" i="75" s="1"/>
  <c r="J39" i="75"/>
  <c r="AC39" i="75" s="1"/>
  <c r="H39" i="75"/>
  <c r="AB39" i="75" s="1"/>
  <c r="F39" i="75"/>
  <c r="AA39" i="75" s="1"/>
  <c r="Q38" i="75"/>
  <c r="Z38" i="75" s="1"/>
  <c r="J38" i="75"/>
  <c r="AC38" i="75" s="1"/>
  <c r="H38" i="75"/>
  <c r="AB38" i="75" s="1"/>
  <c r="F38" i="75"/>
  <c r="AA38" i="75" s="1"/>
  <c r="Q37" i="75"/>
  <c r="Z37" i="75" s="1"/>
  <c r="J37" i="75"/>
  <c r="AC37" i="75" s="1"/>
  <c r="H37" i="75"/>
  <c r="AB37" i="75" s="1"/>
  <c r="F37" i="75"/>
  <c r="AA37" i="75" s="1"/>
  <c r="Q36" i="75"/>
  <c r="Z36" i="75" s="1"/>
  <c r="J36" i="75"/>
  <c r="AC36" i="75" s="1"/>
  <c r="H36" i="75"/>
  <c r="AB36" i="75" s="1"/>
  <c r="F36" i="75"/>
  <c r="AA36" i="75" s="1"/>
  <c r="Q35" i="75"/>
  <c r="Z35" i="75" s="1"/>
  <c r="J35" i="75"/>
  <c r="AC35" i="75" s="1"/>
  <c r="H35" i="75"/>
  <c r="AB35" i="75" s="1"/>
  <c r="F35" i="75"/>
  <c r="AA35" i="75" s="1"/>
  <c r="Q34" i="75"/>
  <c r="Z34" i="75" s="1"/>
  <c r="J34" i="75"/>
  <c r="AC34" i="75" s="1"/>
  <c r="H34" i="75"/>
  <c r="AB34" i="75" s="1"/>
  <c r="F34" i="75"/>
  <c r="AA34" i="75" s="1"/>
  <c r="Q33" i="75"/>
  <c r="Z33" i="75" s="1"/>
  <c r="Q32" i="75"/>
  <c r="Z32" i="75" s="1"/>
  <c r="J32" i="75"/>
  <c r="AC32" i="75" s="1"/>
  <c r="H32" i="75"/>
  <c r="AB32" i="75" s="1"/>
  <c r="F32" i="75"/>
  <c r="AA32" i="75" s="1"/>
  <c r="Q31" i="75"/>
  <c r="Z31" i="75" s="1"/>
  <c r="J31" i="75"/>
  <c r="AC31" i="75" s="1"/>
  <c r="H31" i="75"/>
  <c r="AB31" i="75" s="1"/>
  <c r="F31" i="75"/>
  <c r="AA31" i="75" s="1"/>
  <c r="Q30" i="75"/>
  <c r="Z30" i="75" s="1"/>
  <c r="J30" i="75"/>
  <c r="AC30" i="75" s="1"/>
  <c r="H30" i="75"/>
  <c r="AB30" i="75" s="1"/>
  <c r="F30" i="75"/>
  <c r="AA30" i="75" s="1"/>
  <c r="Q29" i="75"/>
  <c r="Z29" i="75" s="1"/>
  <c r="J29" i="75"/>
  <c r="AC29" i="75" s="1"/>
  <c r="H29" i="75"/>
  <c r="AB29" i="75" s="1"/>
  <c r="F29" i="75"/>
  <c r="AA29" i="75" s="1"/>
  <c r="Q28" i="75"/>
  <c r="Z28" i="75" s="1"/>
  <c r="J28" i="75"/>
  <c r="AC28" i="75" s="1"/>
  <c r="H28" i="75"/>
  <c r="AB28" i="75" s="1"/>
  <c r="F28" i="75"/>
  <c r="AA28" i="75" s="1"/>
  <c r="Q27" i="75"/>
  <c r="Z27" i="75" s="1"/>
  <c r="J27" i="75"/>
  <c r="C27" i="75"/>
  <c r="F27" i="75" s="1"/>
  <c r="Q26" i="75"/>
  <c r="Z26" i="75" s="1"/>
  <c r="J26" i="75"/>
  <c r="AC26" i="75" s="1"/>
  <c r="H26" i="75"/>
  <c r="AB26" i="75" s="1"/>
  <c r="F26" i="75"/>
  <c r="AA26" i="75" s="1"/>
  <c r="Q25" i="75"/>
  <c r="Z25" i="75" s="1"/>
  <c r="J25" i="75"/>
  <c r="AC25" i="75" s="1"/>
  <c r="H25" i="75"/>
  <c r="AB25" i="75" s="1"/>
  <c r="F25" i="75"/>
  <c r="AA25" i="75" s="1"/>
  <c r="Q23" i="75"/>
  <c r="Z23" i="75" s="1"/>
  <c r="K23" i="75"/>
  <c r="D85" i="75" s="1"/>
  <c r="E85" i="75" s="1"/>
  <c r="F85" i="75" s="1"/>
  <c r="G85" i="75" s="1"/>
  <c r="J23" i="75"/>
  <c r="AC23" i="75" s="1"/>
  <c r="H23" i="75"/>
  <c r="AB23" i="75" s="1"/>
  <c r="F23" i="75"/>
  <c r="AA23" i="75" s="1"/>
  <c r="C23" i="75"/>
  <c r="Q21" i="75"/>
  <c r="Z21" i="75" s="1"/>
  <c r="K21" i="75"/>
  <c r="D83" i="75" s="1"/>
  <c r="E83" i="75" s="1"/>
  <c r="F83" i="75" s="1"/>
  <c r="G83" i="75" s="1"/>
  <c r="J21" i="75"/>
  <c r="AC21" i="75" s="1"/>
  <c r="H21" i="75"/>
  <c r="AB21" i="75" s="1"/>
  <c r="F21" i="75"/>
  <c r="AA21" i="75" s="1"/>
  <c r="C21" i="75"/>
  <c r="Q19" i="75"/>
  <c r="Z19" i="75" s="1"/>
  <c r="K19" i="75"/>
  <c r="D81" i="75" s="1"/>
  <c r="E81" i="75" s="1"/>
  <c r="F81" i="75" s="1"/>
  <c r="G81" i="75" s="1"/>
  <c r="J19" i="75"/>
  <c r="AC19" i="75" s="1"/>
  <c r="H19" i="75"/>
  <c r="F19" i="75"/>
  <c r="AA19" i="75" s="1"/>
  <c r="C19" i="75"/>
  <c r="Q17" i="75"/>
  <c r="Z17" i="75" s="1"/>
  <c r="K17" i="75"/>
  <c r="D79" i="75" s="1"/>
  <c r="E79" i="75" s="1"/>
  <c r="F79" i="75" s="1"/>
  <c r="G79" i="75" s="1"/>
  <c r="J17" i="75"/>
  <c r="AC17" i="75" s="1"/>
  <c r="H17" i="75"/>
  <c r="AB17" i="75" s="1"/>
  <c r="F17" i="75"/>
  <c r="AA17" i="75" s="1"/>
  <c r="C17" i="75"/>
  <c r="Q15" i="75"/>
  <c r="Z15" i="75" s="1"/>
  <c r="K15" i="75"/>
  <c r="D77" i="75" s="1"/>
  <c r="E77" i="75" s="1"/>
  <c r="F77" i="75" s="1"/>
  <c r="G77" i="75" s="1"/>
  <c r="J15" i="75"/>
  <c r="AC15" i="75" s="1"/>
  <c r="H15" i="75"/>
  <c r="AB15" i="75" s="1"/>
  <c r="F15" i="75"/>
  <c r="AA15" i="75" s="1"/>
  <c r="C15" i="75"/>
  <c r="Q14" i="75"/>
  <c r="Z14" i="75" s="1"/>
  <c r="J14" i="75"/>
  <c r="AC14" i="75" s="1"/>
  <c r="H14" i="75"/>
  <c r="AB14" i="75" s="1"/>
  <c r="F14" i="75"/>
  <c r="AA14" i="75" s="1"/>
  <c r="Q13" i="75"/>
  <c r="Z13" i="75" s="1"/>
  <c r="J13" i="75"/>
  <c r="AC13" i="75" s="1"/>
  <c r="H13" i="75"/>
  <c r="AB13" i="75" s="1"/>
  <c r="F13" i="75"/>
  <c r="AA13" i="75" s="1"/>
  <c r="Q12" i="75"/>
  <c r="Z12" i="75" s="1"/>
  <c r="J12" i="75"/>
  <c r="AC12" i="75" s="1"/>
  <c r="H12" i="75"/>
  <c r="AB12" i="75" s="1"/>
  <c r="F12" i="75"/>
  <c r="AA12" i="75" s="1"/>
  <c r="Q11" i="75"/>
  <c r="Z11" i="75" s="1"/>
  <c r="Q10" i="75"/>
  <c r="Z10" i="75" s="1"/>
  <c r="J10" i="75"/>
  <c r="AC10" i="75" s="1"/>
  <c r="H10" i="75"/>
  <c r="AB10" i="75" s="1"/>
  <c r="F10" i="75"/>
  <c r="AA10" i="75" s="1"/>
  <c r="Q9" i="75"/>
  <c r="Z9" i="75" s="1"/>
  <c r="J9" i="75"/>
  <c r="AC9" i="75" s="1"/>
  <c r="H9" i="75"/>
  <c r="AB9" i="75" s="1"/>
  <c r="F9" i="75"/>
  <c r="AA9" i="75" s="1"/>
  <c r="J8" i="75"/>
  <c r="W8" i="75" s="1"/>
  <c r="H8" i="75"/>
  <c r="AB8" i="75" s="1"/>
  <c r="F8" i="75"/>
  <c r="S8" i="75" s="1"/>
  <c r="G7" i="75"/>
  <c r="E47" i="21"/>
  <c r="G47" i="21"/>
  <c r="I47" i="21"/>
  <c r="AH12" i="1"/>
  <c r="Q73" i="74"/>
  <c r="Q60" i="74"/>
  <c r="D60" i="74"/>
  <c r="Q59" i="74"/>
  <c r="K59" i="74"/>
  <c r="P75" i="74" s="1"/>
  <c r="F58" i="74"/>
  <c r="Q52" i="74"/>
  <c r="J50" i="74"/>
  <c r="M47" i="74"/>
  <c r="F33" i="74"/>
  <c r="F60" i="74" s="1"/>
  <c r="F32" i="74"/>
  <c r="F59" i="74" s="1"/>
  <c r="F31" i="74"/>
  <c r="F28" i="74"/>
  <c r="F23" i="74"/>
  <c r="D24" i="74" s="1"/>
  <c r="D23" i="74"/>
  <c r="D22" i="74"/>
  <c r="F21" i="74"/>
  <c r="F20" i="74"/>
  <c r="M19" i="74"/>
  <c r="M18" i="74"/>
  <c r="F18" i="74"/>
  <c r="M17" i="74"/>
  <c r="F15" i="74"/>
  <c r="P75" i="73"/>
  <c r="Q73" i="73"/>
  <c r="P62" i="73"/>
  <c r="Q60" i="73"/>
  <c r="F60" i="73"/>
  <c r="D60" i="73"/>
  <c r="Q59" i="73"/>
  <c r="K59" i="73"/>
  <c r="F59" i="73"/>
  <c r="F58" i="73"/>
  <c r="Q52" i="73"/>
  <c r="J50" i="73"/>
  <c r="M47" i="73"/>
  <c r="F33" i="73"/>
  <c r="F32" i="73"/>
  <c r="F31" i="73"/>
  <c r="F28" i="73"/>
  <c r="D24" i="73"/>
  <c r="F23" i="73"/>
  <c r="D23" i="73"/>
  <c r="D22" i="73"/>
  <c r="F21" i="73"/>
  <c r="F20" i="73"/>
  <c r="M19" i="73"/>
  <c r="M18" i="73"/>
  <c r="F18" i="73"/>
  <c r="M17" i="73"/>
  <c r="F15" i="73"/>
  <c r="Q73" i="72"/>
  <c r="Q60" i="72"/>
  <c r="D60" i="72"/>
  <c r="Q59" i="72"/>
  <c r="K59" i="72"/>
  <c r="P75" i="72" s="1"/>
  <c r="F58" i="72"/>
  <c r="Q52" i="72"/>
  <c r="J50" i="72"/>
  <c r="M47" i="72"/>
  <c r="F33" i="72"/>
  <c r="F60" i="72" s="1"/>
  <c r="F32" i="72"/>
  <c r="F59" i="72" s="1"/>
  <c r="F31" i="72"/>
  <c r="F28" i="72"/>
  <c r="F23" i="72"/>
  <c r="D24" i="72" s="1"/>
  <c r="D23" i="72"/>
  <c r="D22" i="72"/>
  <c r="F21" i="72"/>
  <c r="F20" i="72"/>
  <c r="M19" i="72"/>
  <c r="M18" i="72"/>
  <c r="F18" i="72"/>
  <c r="M17" i="72"/>
  <c r="F15" i="72"/>
  <c r="Q73" i="71"/>
  <c r="Q60" i="71"/>
  <c r="D60" i="71"/>
  <c r="Q59" i="71"/>
  <c r="K59" i="71"/>
  <c r="P75" i="71" s="1"/>
  <c r="F58" i="71"/>
  <c r="Q52" i="71"/>
  <c r="J50" i="71"/>
  <c r="M47" i="71"/>
  <c r="F33" i="71"/>
  <c r="F60" i="71" s="1"/>
  <c r="F32" i="71"/>
  <c r="F59" i="71" s="1"/>
  <c r="F31" i="71"/>
  <c r="F28" i="71"/>
  <c r="F23" i="71"/>
  <c r="D24" i="71" s="1"/>
  <c r="D23" i="71"/>
  <c r="D22" i="71"/>
  <c r="F21" i="71"/>
  <c r="F20" i="71"/>
  <c r="M19" i="71"/>
  <c r="M18" i="71"/>
  <c r="F18" i="71"/>
  <c r="M17" i="71"/>
  <c r="F15" i="71"/>
  <c r="U15" i="3"/>
  <c r="I48" i="39"/>
  <c r="G48" i="39"/>
  <c r="E48" i="39"/>
  <c r="I40" i="39"/>
  <c r="G40" i="39"/>
  <c r="E40" i="39"/>
  <c r="I9" i="39"/>
  <c r="G9" i="39"/>
  <c r="E9" i="39"/>
  <c r="K21" i="70"/>
  <c r="J21" i="70"/>
  <c r="AD15" i="3"/>
  <c r="S15" i="3"/>
  <c r="Q15" i="3"/>
  <c r="O15" i="3"/>
  <c r="AD14" i="3"/>
  <c r="U14" i="3"/>
  <c r="O19" i="70"/>
  <c r="AN14" i="3" s="1"/>
  <c r="M14" i="3"/>
  <c r="K14" i="3"/>
  <c r="C27" i="70"/>
  <c r="K13" i="70"/>
  <c r="L20" i="70"/>
  <c r="AL15" i="3" s="1"/>
  <c r="F19" i="70"/>
  <c r="F13" i="70"/>
  <c r="G13" i="70"/>
  <c r="H13" i="70"/>
  <c r="I13" i="70"/>
  <c r="J13" i="70"/>
  <c r="M13" i="70"/>
  <c r="N13" i="70"/>
  <c r="O13" i="70"/>
  <c r="P13" i="70"/>
  <c r="E7" i="70"/>
  <c r="E8" i="70"/>
  <c r="E9" i="70"/>
  <c r="E10" i="70"/>
  <c r="E11" i="70"/>
  <c r="E12" i="70"/>
  <c r="L4" i="70"/>
  <c r="L6" i="70"/>
  <c r="L7" i="70"/>
  <c r="D7" i="70" s="1"/>
  <c r="L8" i="70"/>
  <c r="D8" i="70" s="1"/>
  <c r="L9" i="70"/>
  <c r="D9" i="70" s="1"/>
  <c r="L10" i="70"/>
  <c r="D10" i="70" s="1"/>
  <c r="L11" i="70"/>
  <c r="D11" i="70" s="1"/>
  <c r="L12" i="70"/>
  <c r="D12" i="70" s="1"/>
  <c r="L14" i="70"/>
  <c r="L15" i="70"/>
  <c r="F5" i="70"/>
  <c r="I5" i="70"/>
  <c r="J5" i="70"/>
  <c r="J16" i="70" s="1"/>
  <c r="AL13" i="3" s="1"/>
  <c r="K5" i="70"/>
  <c r="K16" i="70" s="1"/>
  <c r="M21" i="70" s="1"/>
  <c r="M5" i="70"/>
  <c r="N5" i="70"/>
  <c r="N16" i="70" s="1"/>
  <c r="U13" i="3" s="1"/>
  <c r="O5" i="70"/>
  <c r="O16" i="70" s="1"/>
  <c r="P5" i="70"/>
  <c r="P16" i="70" s="1"/>
  <c r="G4" i="70"/>
  <c r="L3" i="70"/>
  <c r="D15" i="70"/>
  <c r="E6" i="70"/>
  <c r="D6" i="70" s="1"/>
  <c r="E14" i="70"/>
  <c r="D14" i="70" s="1"/>
  <c r="H3" i="70"/>
  <c r="H5" i="70" s="1"/>
  <c r="H16" i="70" s="1"/>
  <c r="H21" i="70" s="1"/>
  <c r="I21" i="70" l="1"/>
  <c r="E3" i="70"/>
  <c r="E4" i="70"/>
  <c r="D4" i="70" s="1"/>
  <c r="G44" i="70"/>
  <c r="F16" i="70"/>
  <c r="I13" i="3" s="1"/>
  <c r="E20" i="70"/>
  <c r="D20" i="70" s="1"/>
  <c r="L21" i="70"/>
  <c r="P21" i="70"/>
  <c r="F21" i="70"/>
  <c r="AD13" i="3"/>
  <c r="I7" i="75"/>
  <c r="U8" i="75"/>
  <c r="AA8" i="75"/>
  <c r="AC8" i="75"/>
  <c r="U9" i="75"/>
  <c r="S10" i="75"/>
  <c r="W10" i="75"/>
  <c r="U12" i="75"/>
  <c r="S13" i="75"/>
  <c r="W13" i="75"/>
  <c r="U14" i="75"/>
  <c r="S15" i="75"/>
  <c r="W15" i="75"/>
  <c r="U17" i="75"/>
  <c r="AB19" i="75"/>
  <c r="U19" i="75"/>
  <c r="S19" i="75"/>
  <c r="AC27" i="75"/>
  <c r="W27" i="75"/>
  <c r="S9" i="75"/>
  <c r="W9" i="75"/>
  <c r="U10" i="75"/>
  <c r="S12" i="75"/>
  <c r="W12" i="75"/>
  <c r="U13" i="75"/>
  <c r="S14" i="75"/>
  <c r="W14" i="75"/>
  <c r="U15" i="75"/>
  <c r="S17" i="75"/>
  <c r="W17" i="75"/>
  <c r="W19" i="75"/>
  <c r="AA27" i="75"/>
  <c r="S27" i="75"/>
  <c r="S21" i="75"/>
  <c r="W21" i="75"/>
  <c r="U23" i="75"/>
  <c r="S25" i="75"/>
  <c r="W25" i="75"/>
  <c r="U26" i="75"/>
  <c r="H27" i="75"/>
  <c r="U28" i="75"/>
  <c r="S29" i="75"/>
  <c r="W29" i="75"/>
  <c r="U30" i="75"/>
  <c r="S31" i="75"/>
  <c r="W31" i="75"/>
  <c r="U32" i="75"/>
  <c r="S34" i="75"/>
  <c r="W34" i="75"/>
  <c r="U35" i="75"/>
  <c r="S36" i="75"/>
  <c r="W36" i="75"/>
  <c r="U37" i="75"/>
  <c r="S38" i="75"/>
  <c r="W38" i="75"/>
  <c r="U39" i="75"/>
  <c r="S40" i="75"/>
  <c r="W40" i="75"/>
  <c r="U41" i="75"/>
  <c r="S42" i="75"/>
  <c r="W42" i="75"/>
  <c r="U43" i="75"/>
  <c r="S44" i="75"/>
  <c r="W44" i="75"/>
  <c r="U45" i="75"/>
  <c r="U21" i="75"/>
  <c r="S23" i="75"/>
  <c r="W23" i="75"/>
  <c r="U25" i="75"/>
  <c r="S26" i="75"/>
  <c r="W26" i="75"/>
  <c r="S28" i="75"/>
  <c r="W28" i="75"/>
  <c r="U29" i="75"/>
  <c r="S30" i="75"/>
  <c r="W30" i="75"/>
  <c r="U31" i="75"/>
  <c r="S32" i="75"/>
  <c r="W32" i="75"/>
  <c r="U34" i="75"/>
  <c r="S35" i="75"/>
  <c r="W35" i="75"/>
  <c r="U36" i="75"/>
  <c r="S37" i="75"/>
  <c r="W37" i="75"/>
  <c r="U38" i="75"/>
  <c r="S39" i="75"/>
  <c r="W39" i="75"/>
  <c r="U40" i="75"/>
  <c r="S41" i="75"/>
  <c r="W41" i="75"/>
  <c r="H42" i="75"/>
  <c r="S43" i="75"/>
  <c r="W43" i="75"/>
  <c r="U44" i="75"/>
  <c r="S45" i="75"/>
  <c r="W45" i="75"/>
  <c r="U46" i="75"/>
  <c r="R47" i="75"/>
  <c r="V47" i="75"/>
  <c r="G54" i="75"/>
  <c r="H54" i="75" s="1"/>
  <c r="K143" i="75"/>
  <c r="S46" i="75"/>
  <c r="W46" i="75"/>
  <c r="K144" i="75"/>
  <c r="P62" i="74"/>
  <c r="P62" i="72"/>
  <c r="P62" i="71"/>
  <c r="M13" i="3"/>
  <c r="I14" i="3"/>
  <c r="L13" i="70"/>
  <c r="L5" i="70"/>
  <c r="E19" i="70"/>
  <c r="D3" i="70"/>
  <c r="G5" i="70"/>
  <c r="M16" i="70"/>
  <c r="AN13" i="3" s="1"/>
  <c r="E13" i="70"/>
  <c r="D5" i="70"/>
  <c r="D16" i="70" s="1"/>
  <c r="K17" i="21"/>
  <c r="E5" i="70" l="1"/>
  <c r="E16" i="70" s="1"/>
  <c r="G16" i="70"/>
  <c r="L16" i="70"/>
  <c r="O21" i="70"/>
  <c r="C25" i="70"/>
  <c r="N21" i="70"/>
  <c r="C23" i="70"/>
  <c r="D21" i="70"/>
  <c r="AB42" i="75"/>
  <c r="U42" i="75"/>
  <c r="AB27" i="75"/>
  <c r="U27" i="75"/>
  <c r="K13" i="3"/>
  <c r="G21" i="70"/>
  <c r="C26" i="70"/>
  <c r="F29" i="69"/>
  <c r="F25" i="69"/>
  <c r="F24" i="69"/>
  <c r="F23" i="69"/>
  <c r="E22" i="69"/>
  <c r="E21" i="69"/>
  <c r="E19" i="69"/>
  <c r="F17" i="69"/>
  <c r="F15" i="69"/>
  <c r="F14" i="69"/>
  <c r="K9" i="69"/>
  <c r="J9" i="69"/>
  <c r="I9" i="69"/>
  <c r="H9" i="69"/>
  <c r="G9" i="69"/>
  <c r="F9" i="69"/>
  <c r="F10" i="69" s="1"/>
  <c r="E9" i="69"/>
  <c r="E10" i="69" s="1"/>
  <c r="E21" i="70" l="1"/>
  <c r="C24" i="70"/>
  <c r="K23" i="21"/>
  <c r="K21" i="21"/>
  <c r="K19" i="21"/>
  <c r="K15" i="21"/>
  <c r="C27" i="21"/>
  <c r="R47" i="21"/>
  <c r="I7" i="21"/>
  <c r="G7" i="21"/>
  <c r="C40" i="39" l="1"/>
  <c r="I7" i="39"/>
  <c r="G7" i="39"/>
  <c r="E7" i="39"/>
  <c r="B35" i="1"/>
  <c r="E16" i="69" l="1"/>
  <c r="F17" i="74"/>
  <c r="F17" i="73"/>
  <c r="F17" i="72"/>
  <c r="F17" i="71"/>
  <c r="D3" i="4"/>
  <c r="I5" i="59" l="1"/>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0" i="55"/>
  <c r="A9" i="55"/>
  <c r="A8" i="55"/>
  <c r="A6" i="54"/>
  <c r="A8" i="54"/>
  <c r="A7" i="54"/>
  <c r="A28" i="51"/>
  <c r="A27" i="51"/>
  <c r="D5" i="46" l="1"/>
  <c r="Q6" i="59" l="1"/>
  <c r="O6" i="59"/>
  <c r="N7" i="59"/>
  <c r="O7" i="59"/>
  <c r="P7" i="59"/>
  <c r="Q7" i="59"/>
  <c r="N6" i="59"/>
  <c r="P6" i="59"/>
  <c r="F14" i="67"/>
  <c r="B9" i="67"/>
  <c r="B14" i="67"/>
  <c r="E14" i="67"/>
  <c r="F11" i="67"/>
  <c r="E11" i="67"/>
  <c r="B13" i="67"/>
  <c r="E12" i="67"/>
  <c r="F9" i="67"/>
  <c r="B11" i="67"/>
  <c r="F13" i="67"/>
  <c r="E8" i="67"/>
  <c r="E13" i="67"/>
  <c r="B12" i="67"/>
  <c r="B10" i="67"/>
  <c r="F8" i="67"/>
  <c r="E9" i="67"/>
  <c r="F10" i="67"/>
  <c r="F12" i="67"/>
  <c r="B8" i="67"/>
  <c r="E10"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H19" i="59"/>
  <c r="AG19" i="59"/>
  <c r="AE19" i="59"/>
  <c r="AF19" i="59" s="1"/>
  <c r="AD19" i="59"/>
  <c r="AD20" i="59"/>
  <c r="AE20" i="59"/>
  <c r="AF20" i="59"/>
  <c r="AG20" i="59"/>
  <c r="AH20" i="59"/>
  <c r="S2" i="31" l="1"/>
  <c r="M2" i="31"/>
  <c r="N2" i="31"/>
  <c r="O2" i="31"/>
  <c r="P2" i="31"/>
  <c r="Q2" i="31"/>
  <c r="R2" i="31"/>
  <c r="C3" i="65" l="1"/>
  <c r="C1" i="65"/>
  <c r="N1" i="65" s="1"/>
  <c r="N7" i="65"/>
  <c r="H1" i="65" l="1"/>
  <c r="B76" i="63"/>
  <c r="N6" i="65"/>
  <c r="N4" i="65"/>
  <c r="N3" i="65"/>
  <c r="I3" i="65"/>
  <c r="N5" i="65"/>
  <c r="C4" i="65" l="1"/>
  <c r="B39" i="1" s="1"/>
  <c r="I5" i="65"/>
  <c r="J6" i="65"/>
  <c r="J5" i="65"/>
  <c r="I6" i="65"/>
  <c r="I4" i="65"/>
  <c r="I7" i="65"/>
  <c r="J4" i="65"/>
  <c r="J3" i="65"/>
  <c r="J7" i="65"/>
  <c r="F11" i="74" l="1"/>
  <c r="M11" i="74"/>
  <c r="J10" i="74" s="1"/>
  <c r="F11" i="73"/>
  <c r="M11" i="73"/>
  <c r="J10" i="73" s="1"/>
  <c r="F11" i="72"/>
  <c r="M11" i="72"/>
  <c r="J10" i="72" s="1"/>
  <c r="F11" i="71"/>
  <c r="M11" i="71"/>
  <c r="J10" i="71" s="1"/>
  <c r="E20" i="46"/>
  <c r="J1" i="65"/>
  <c r="M5" i="54"/>
  <c r="A23" i="51"/>
  <c r="E3" i="65"/>
  <c r="C52" i="74" l="1"/>
  <c r="C10" i="74"/>
  <c r="C52" i="72"/>
  <c r="C52" i="73"/>
  <c r="C52" i="71"/>
  <c r="F17" i="1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64" s="1"/>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AB16" i="59" s="1"/>
  <c r="P16" i="59"/>
  <c r="AA16" i="59" s="1"/>
  <c r="O16" i="59"/>
  <c r="Y16" i="59" s="1"/>
  <c r="Z16" i="59" s="1"/>
  <c r="N16" i="59"/>
  <c r="X16" i="59" s="1"/>
  <c r="Q15" i="59"/>
  <c r="AB15" i="59" s="1"/>
  <c r="P15" i="59"/>
  <c r="AA15" i="59" s="1"/>
  <c r="O15" i="59"/>
  <c r="Y15" i="59" s="1"/>
  <c r="Z15" i="59" s="1"/>
  <c r="N15" i="59"/>
  <c r="X15" i="59" s="1"/>
  <c r="Q14" i="59"/>
  <c r="AB14" i="59" s="1"/>
  <c r="P14" i="59"/>
  <c r="AA14" i="59" s="1"/>
  <c r="O14" i="59"/>
  <c r="Y14" i="59" s="1"/>
  <c r="Z14" i="59" s="1"/>
  <c r="N14" i="59"/>
  <c r="X14" i="59" s="1"/>
  <c r="Q13" i="59"/>
  <c r="P13" i="59"/>
  <c r="O13" i="59"/>
  <c r="N13" i="59"/>
  <c r="D13" i="59"/>
  <c r="Q12" i="59"/>
  <c r="AB12" i="59" s="1"/>
  <c r="P12" i="59"/>
  <c r="AA12" i="59" s="1"/>
  <c r="O12" i="59"/>
  <c r="Y12" i="59" s="1"/>
  <c r="Z12" i="59" s="1"/>
  <c r="N12" i="59"/>
  <c r="X12" i="59" s="1"/>
  <c r="Q11" i="59"/>
  <c r="AB11" i="59" s="1"/>
  <c r="P11" i="59"/>
  <c r="AA11" i="59" s="1"/>
  <c r="O11" i="59"/>
  <c r="Y11" i="59" s="1"/>
  <c r="Z11" i="59" s="1"/>
  <c r="N11" i="59"/>
  <c r="X11" i="59" s="1"/>
  <c r="Q10" i="59"/>
  <c r="AB10" i="59" s="1"/>
  <c r="P10" i="59"/>
  <c r="AA10" i="59" s="1"/>
  <c r="O10" i="59"/>
  <c r="Y10" i="59" s="1"/>
  <c r="Z10" i="59" s="1"/>
  <c r="N10" i="59"/>
  <c r="X10" i="59" s="1"/>
  <c r="Q9" i="59"/>
  <c r="P9" i="59"/>
  <c r="AA9" i="59" s="1"/>
  <c r="O9" i="59"/>
  <c r="N9" i="59"/>
  <c r="D9" i="59"/>
  <c r="C14" i="59" l="1"/>
  <c r="Y13" i="59"/>
  <c r="Z13" i="59" s="1"/>
  <c r="F14" i="59"/>
  <c r="AB13" i="59"/>
  <c r="B18" i="59"/>
  <c r="B19" i="59" s="1"/>
  <c r="B20" i="59" s="1"/>
  <c r="S20" i="59" s="1"/>
  <c r="X17" i="59"/>
  <c r="E18" i="59"/>
  <c r="E19" i="59" s="1"/>
  <c r="E20" i="59" s="1"/>
  <c r="U20" i="59" s="1"/>
  <c r="AA17" i="59"/>
  <c r="S8" i="59"/>
  <c r="B7" i="59"/>
  <c r="B6" i="59" s="1"/>
  <c r="B5" i="59" s="1"/>
  <c r="B4" i="59" s="1"/>
  <c r="U8" i="59"/>
  <c r="E7" i="59"/>
  <c r="E6" i="59" s="1"/>
  <c r="E5" i="59" s="1"/>
  <c r="E4" i="59" s="1"/>
  <c r="B10" i="59"/>
  <c r="X9" i="59"/>
  <c r="C10" i="59"/>
  <c r="Y9" i="59"/>
  <c r="Z9" i="59" s="1"/>
  <c r="F10" i="59"/>
  <c r="AB9" i="59"/>
  <c r="B14" i="59"/>
  <c r="B15" i="59" s="1"/>
  <c r="B16" i="59" s="1"/>
  <c r="S16" i="59" s="1"/>
  <c r="X13" i="59"/>
  <c r="E14" i="59"/>
  <c r="E15" i="59" s="1"/>
  <c r="E16" i="59" s="1"/>
  <c r="U16" i="59" s="1"/>
  <c r="AA13" i="59"/>
  <c r="C18" i="59"/>
  <c r="Y17" i="59"/>
  <c r="Z17" i="59" s="1"/>
  <c r="F18" i="59"/>
  <c r="AB17" i="59"/>
  <c r="D8" i="59"/>
  <c r="T8" i="59"/>
  <c r="C7" i="59"/>
  <c r="V8" i="59"/>
  <c r="F7" i="59"/>
  <c r="F6" i="59" s="1"/>
  <c r="F5" i="59" s="1"/>
  <c r="F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D6" i="59" l="1"/>
  <c r="C5"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P21" i="6"/>
  <c r="L21" i="6"/>
  <c r="P20" i="6"/>
  <c r="P19" i="6"/>
  <c r="P27" i="6" l="1"/>
  <c r="Q18" i="36"/>
  <c r="Z18" i="36" s="1"/>
  <c r="C18" i="36"/>
  <c r="D66" i="36"/>
  <c r="F18" i="36" s="1"/>
  <c r="AA18" i="36" s="1"/>
  <c r="Q18" i="35"/>
  <c r="Z18" i="35" s="1"/>
  <c r="F18" i="35"/>
  <c r="AA18" i="35" s="1"/>
  <c r="C18" i="35"/>
  <c r="D68" i="35"/>
  <c r="E68" i="35" s="1"/>
  <c r="F68" i="35" s="1"/>
  <c r="G68" i="35" s="1"/>
  <c r="Z21" i="37"/>
  <c r="Q21" i="37"/>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3" i="1"/>
  <c r="AP13" i="1" s="1"/>
  <c r="D11" i="1"/>
  <c r="D12" i="1"/>
  <c r="D13" i="1"/>
  <c r="D6" i="1"/>
  <c r="D7" i="1"/>
  <c r="D8" i="1"/>
  <c r="D9" i="1"/>
  <c r="D10" i="1"/>
  <c r="B2" i="1"/>
  <c r="A12" i="1"/>
  <c r="A13" i="1"/>
  <c r="B13" i="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c r="AX395" i="3"/>
  <c r="AW395" i="3"/>
  <c r="AV395" i="3"/>
  <c r="AC395" i="3"/>
  <c r="H395" i="3"/>
  <c r="G395" i="3"/>
  <c r="BT394" i="3"/>
  <c r="BS394" i="3"/>
  <c r="BR394" i="3"/>
  <c r="BQ394" i="3"/>
  <c r="BP394" i="3"/>
  <c r="BO394" i="3"/>
  <c r="BN394" i="3"/>
  <c r="BM394" i="3"/>
  <c r="BL394" i="3" s="1"/>
  <c r="AZ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AZ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AZ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12" i="1" s="1"/>
  <c r="G12" i="1" s="1"/>
  <c r="F19" i="4"/>
  <c r="F11" i="1" s="1"/>
  <c r="E19" i="4"/>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B30" i="9"/>
  <c r="F17" i="44"/>
  <c r="F19" i="44"/>
  <c r="F22" i="44"/>
  <c r="F25" i="44"/>
  <c r="D25" i="44" s="1"/>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B5" i="3" s="1"/>
  <c r="BR13" i="3"/>
  <c r="B24" i="1"/>
  <c r="E77" i="9"/>
  <c r="O75" i="9" s="1"/>
  <c r="L75" i="9"/>
  <c r="F77" i="9"/>
  <c r="P75" i="9" s="1"/>
  <c r="O74" i="9"/>
  <c r="O73" i="9"/>
  <c r="E66" i="9"/>
  <c r="O72" i="9"/>
  <c r="F74" i="9"/>
  <c r="P74" i="9"/>
  <c r="N67" i="9"/>
  <c r="K44" i="9"/>
  <c r="K43" i="9"/>
  <c r="B31" i="1"/>
  <c r="E10" i="11" s="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D30" i="9"/>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J9" i="12"/>
  <c r="K9" i="12"/>
  <c r="G111" i="21"/>
  <c r="H111" i="21"/>
  <c r="B112" i="39"/>
  <c r="B114" i="39"/>
  <c r="F38" i="39"/>
  <c r="AA38" i="39" s="1"/>
  <c r="J30" i="36"/>
  <c r="H30" i="36"/>
  <c r="U30" i="36" s="1"/>
  <c r="F30" i="36"/>
  <c r="AA30" i="36" s="1"/>
  <c r="C26" i="35"/>
  <c r="C79" i="35" s="1"/>
  <c r="J31" i="35"/>
  <c r="H31" i="35"/>
  <c r="U31" i="35" s="1"/>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F33" i="37" s="1"/>
  <c r="H42" i="34"/>
  <c r="J42" i="34"/>
  <c r="F42" i="34"/>
  <c r="S42" i="34" s="1"/>
  <c r="J38" i="34"/>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AA40" i="33" s="1"/>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G100" i="40" s="1"/>
  <c r="D98" i="40"/>
  <c r="E98" i="40" s="1"/>
  <c r="B97" i="40"/>
  <c r="D94" i="40"/>
  <c r="D92" i="40"/>
  <c r="D90" i="40"/>
  <c r="H21" i="40"/>
  <c r="AB21" i="40" s="1"/>
  <c r="D88" i="40"/>
  <c r="E88" i="40" s="1"/>
  <c r="D86" i="40"/>
  <c r="E86" i="40"/>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H40" i="37" s="1"/>
  <c r="D107" i="37"/>
  <c r="E107" i="37"/>
  <c r="D105" i="37"/>
  <c r="E105" i="37"/>
  <c r="H36" i="37"/>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J26" i="37" s="1"/>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H26" i="37"/>
  <c r="AB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J33" i="36" s="1"/>
  <c r="B91" i="36"/>
  <c r="F32" i="36"/>
  <c r="S32" i="36" s="1"/>
  <c r="B95" i="36"/>
  <c r="H34" i="36"/>
  <c r="D83" i="36"/>
  <c r="E83" i="36" s="1"/>
  <c r="F83" i="36" s="1"/>
  <c r="G83" i="36" s="1"/>
  <c r="H83" i="36" s="1"/>
  <c r="I83" i="36" s="1"/>
  <c r="J83" i="36" s="1"/>
  <c r="K83" i="36" s="1"/>
  <c r="L83" i="36" s="1"/>
  <c r="M83" i="36" s="1"/>
  <c r="D78" i="36"/>
  <c r="J26" i="36"/>
  <c r="W26" i="36" s="1"/>
  <c r="B75" i="36"/>
  <c r="F25" i="36" s="1"/>
  <c r="AA25" i="36" s="1"/>
  <c r="B73" i="36"/>
  <c r="J24" i="36"/>
  <c r="W24" i="36" s="1"/>
  <c r="B71" i="36"/>
  <c r="D70" i="36"/>
  <c r="H22" i="36"/>
  <c r="AB22" i="36" s="1"/>
  <c r="D68" i="36"/>
  <c r="E68" i="36" s="1"/>
  <c r="D64" i="36"/>
  <c r="E64" i="36" s="1"/>
  <c r="F64" i="36" s="1"/>
  <c r="G64" i="36" s="1"/>
  <c r="J16" i="36"/>
  <c r="D62" i="36"/>
  <c r="E62" i="36" s="1"/>
  <c r="B59" i="36"/>
  <c r="J13" i="36" s="1"/>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J35" i="35" s="1"/>
  <c r="B97" i="35"/>
  <c r="B77" i="35"/>
  <c r="F25" i="35" s="1"/>
  <c r="B75" i="35"/>
  <c r="J24" i="35"/>
  <c r="AC24" i="35" s="1"/>
  <c r="B73" i="35"/>
  <c r="B57" i="35"/>
  <c r="F11" i="35" s="1"/>
  <c r="S11" i="35" s="1"/>
  <c r="B61" i="35"/>
  <c r="B59" i="35"/>
  <c r="H12" i="35" s="1"/>
  <c r="B131" i="34"/>
  <c r="B129" i="34"/>
  <c r="B127" i="34"/>
  <c r="B99" i="34"/>
  <c r="B97" i="34"/>
  <c r="B95" i="34"/>
  <c r="B93" i="34"/>
  <c r="B75" i="34"/>
  <c r="B73" i="34"/>
  <c r="B71" i="34"/>
  <c r="B130" i="33"/>
  <c r="B128" i="33"/>
  <c r="H45" i="33" s="1"/>
  <c r="B126" i="33"/>
  <c r="J44" i="33" s="1"/>
  <c r="B98" i="33"/>
  <c r="F31" i="33"/>
  <c r="AA31" i="33" s="1"/>
  <c r="B96" i="33"/>
  <c r="B94" i="33"/>
  <c r="J29" i="33" s="1"/>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F12" i="35"/>
  <c r="AA12" i="35" s="1"/>
  <c r="Q11" i="35"/>
  <c r="Z11" i="35" s="1"/>
  <c r="Q10" i="35"/>
  <c r="Z10" i="35" s="1"/>
  <c r="Q9" i="35"/>
  <c r="Z9" i="35" s="1"/>
  <c r="J9" i="35"/>
  <c r="W9" i="35" s="1"/>
  <c r="F9" i="35"/>
  <c r="AA9" i="35" s="1"/>
  <c r="J8" i="35"/>
  <c r="AC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J42" i="21" s="1"/>
  <c r="AC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H46" i="21" s="1"/>
  <c r="B128" i="21"/>
  <c r="B126" i="21"/>
  <c r="H44" i="21" s="1"/>
  <c r="B98" i="21"/>
  <c r="B96" i="21"/>
  <c r="H30" i="21" s="1"/>
  <c r="U30" i="21" s="1"/>
  <c r="B94" i="21"/>
  <c r="B92" i="21"/>
  <c r="F28" i="21" s="1"/>
  <c r="B90" i="21"/>
  <c r="J27" i="21" s="1"/>
  <c r="W27" i="21" s="1"/>
  <c r="B74" i="21"/>
  <c r="J14" i="21" s="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T47" i="21"/>
  <c r="V47" i="21"/>
  <c r="P48" i="21"/>
  <c r="P49" i="21"/>
  <c r="F8" i="21"/>
  <c r="AA8" i="21" s="1"/>
  <c r="E13" i="11"/>
  <c r="E12" i="11"/>
  <c r="BB12" i="3"/>
  <c r="K5" i="3"/>
  <c r="F20" i="6" s="1"/>
  <c r="J5" i="3"/>
  <c r="BE10" i="3"/>
  <c r="BD13" i="3"/>
  <c r="BE13" i="3"/>
  <c r="BF13" i="3"/>
  <c r="BF5" i="3" s="1"/>
  <c r="BG13" i="3"/>
  <c r="BG5" i="3" s="1"/>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T5" i="3" s="1"/>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L572" i="3" s="1"/>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L5" i="3"/>
  <c r="M5" i="3"/>
  <c r="F21" i="6" s="1"/>
  <c r="N5" i="3"/>
  <c r="O5" i="3"/>
  <c r="P5" i="3"/>
  <c r="Q5" i="3"/>
  <c r="F23" i="6" s="1"/>
  <c r="R5" i="3"/>
  <c r="S5" i="3"/>
  <c r="E24" i="6" s="1"/>
  <c r="K11" i="1" s="1"/>
  <c r="T5" i="3"/>
  <c r="U5" i="3"/>
  <c r="G25" i="6" s="1"/>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AB26" i="21" s="1"/>
  <c r="H19" i="21"/>
  <c r="AB19" i="21" s="1"/>
  <c r="J12" i="21"/>
  <c r="J26" i="21"/>
  <c r="W26" i="21" s="1"/>
  <c r="F26" i="21"/>
  <c r="AA26" i="21" s="1"/>
  <c r="AB41" i="21"/>
  <c r="S41" i="21"/>
  <c r="AA41" i="21"/>
  <c r="S10" i="39"/>
  <c r="U30" i="37"/>
  <c r="E103" i="37"/>
  <c r="F103" i="37" s="1"/>
  <c r="G103" i="37" s="1"/>
  <c r="H103" i="37" s="1"/>
  <c r="I103" i="37" s="1"/>
  <c r="J103" i="37" s="1"/>
  <c r="K103" i="37" s="1"/>
  <c r="L103" i="37" s="1"/>
  <c r="M103" i="37" s="1"/>
  <c r="F39" i="37"/>
  <c r="S39" i="37" s="1"/>
  <c r="F29" i="36"/>
  <c r="AA29" i="36" s="1"/>
  <c r="F16" i="36"/>
  <c r="AA16" i="36" s="1"/>
  <c r="U22" i="36"/>
  <c r="W23" i="36"/>
  <c r="W22" i="36"/>
  <c r="U26" i="36"/>
  <c r="AC31" i="36"/>
  <c r="AC27" i="35"/>
  <c r="S34" i="35"/>
  <c r="W24" i="35"/>
  <c r="S31" i="35"/>
  <c r="W31" i="35"/>
  <c r="U34" i="35"/>
  <c r="F36" i="34"/>
  <c r="S36" i="34" s="1"/>
  <c r="S34" i="34"/>
  <c r="W39" i="34"/>
  <c r="H39" i="33"/>
  <c r="AB39" i="33" s="1"/>
  <c r="F26" i="33"/>
  <c r="AA26" i="33" s="1"/>
  <c r="U9" i="33"/>
  <c r="U33" i="33"/>
  <c r="W38" i="33"/>
  <c r="S33" i="33"/>
  <c r="U38" i="33"/>
  <c r="W8" i="21"/>
  <c r="H39" i="37"/>
  <c r="AB39" i="37" s="1"/>
  <c r="AB27" i="35"/>
  <c r="S10" i="40"/>
  <c r="W10" i="40"/>
  <c r="S11" i="40"/>
  <c r="U11" i="40"/>
  <c r="S36" i="40"/>
  <c r="U36" i="40"/>
  <c r="S40" i="39"/>
  <c r="S36" i="39"/>
  <c r="AC40" i="21"/>
  <c r="C23" i="39"/>
  <c r="U36" i="39"/>
  <c r="S42" i="39"/>
  <c r="H32" i="33"/>
  <c r="AB32" i="33" s="1"/>
  <c r="AA12" i="33"/>
  <c r="J27" i="36"/>
  <c r="W27" i="36" s="1"/>
  <c r="J34" i="36"/>
  <c r="W34" i="36" s="1"/>
  <c r="J30" i="35"/>
  <c r="W30" i="35" s="1"/>
  <c r="F22" i="35"/>
  <c r="AA22" i="35" s="1"/>
  <c r="H10" i="35"/>
  <c r="U10" i="35" s="1"/>
  <c r="AC24" i="36"/>
  <c r="U29" i="36"/>
  <c r="U24" i="36"/>
  <c r="J29" i="36"/>
  <c r="AC29" i="36" s="1"/>
  <c r="F12" i="36"/>
  <c r="S12" i="36" s="1"/>
  <c r="F24" i="36"/>
  <c r="AA24" i="36" s="1"/>
  <c r="F34" i="36"/>
  <c r="S34" i="36" s="1"/>
  <c r="S10" i="36"/>
  <c r="H16" i="35"/>
  <c r="U16" i="35" s="1"/>
  <c r="H33" i="35"/>
  <c r="AB33" i="35" s="1"/>
  <c r="W8" i="35"/>
  <c r="F35" i="37"/>
  <c r="AA35" i="37" s="1"/>
  <c r="J34" i="37"/>
  <c r="W34" i="37" s="1"/>
  <c r="AA39" i="37"/>
  <c r="H43" i="34"/>
  <c r="U42" i="34"/>
  <c r="H36" i="34"/>
  <c r="U36" i="34" s="1"/>
  <c r="F37" i="34"/>
  <c r="AA37" i="34" s="1"/>
  <c r="F33" i="34"/>
  <c r="S33" i="34" s="1"/>
  <c r="F19" i="34"/>
  <c r="AA19" i="34" s="1"/>
  <c r="J10" i="34"/>
  <c r="AC10" i="34" s="1"/>
  <c r="U9" i="34"/>
  <c r="W8" i="34"/>
  <c r="J28" i="34"/>
  <c r="W28" i="34" s="1"/>
  <c r="S38" i="33"/>
  <c r="E113" i="33"/>
  <c r="F36" i="33"/>
  <c r="S36" i="33" s="1"/>
  <c r="F19" i="33"/>
  <c r="S19" i="33" s="1"/>
  <c r="J19" i="33"/>
  <c r="W40" i="33"/>
  <c r="AB30" i="36"/>
  <c r="S22" i="35"/>
  <c r="H29" i="35"/>
  <c r="U34" i="37"/>
  <c r="S34" i="37"/>
  <c r="AA34" i="37"/>
  <c r="AB42" i="34"/>
  <c r="W36" i="34"/>
  <c r="J19" i="34"/>
  <c r="AC19" i="34" s="1"/>
  <c r="F113" i="33"/>
  <c r="G113" i="33" s="1"/>
  <c r="H113" i="33" s="1"/>
  <c r="I113" i="33" s="1"/>
  <c r="J113" i="33" s="1"/>
  <c r="K113" i="33" s="1"/>
  <c r="L113" i="33" s="1"/>
  <c r="M113" i="33" s="1"/>
  <c r="H37" i="33"/>
  <c r="AB37" i="33" s="1"/>
  <c r="S37" i="33"/>
  <c r="AC42" i="34"/>
  <c r="W42" i="34"/>
  <c r="AA42" i="34"/>
  <c r="AC38" i="34"/>
  <c r="W38" i="34"/>
  <c r="AA38" i="34"/>
  <c r="S38" i="34"/>
  <c r="J37" i="33"/>
  <c r="W37" i="33" s="1"/>
  <c r="J44" i="34"/>
  <c r="AC44" i="34" s="1"/>
  <c r="F44" i="34"/>
  <c r="S44" i="34" s="1"/>
  <c r="J10" i="35"/>
  <c r="W10" i="35" s="1"/>
  <c r="AL5" i="3"/>
  <c r="BQ13" i="3"/>
  <c r="F14" i="21"/>
  <c r="AA14" i="21" s="1"/>
  <c r="H28" i="21"/>
  <c r="AB28" i="21" s="1"/>
  <c r="J28" i="21"/>
  <c r="AC28" i="21" s="1"/>
  <c r="F30" i="21"/>
  <c r="S30" i="21" s="1"/>
  <c r="J44" i="21"/>
  <c r="AC44" i="21" s="1"/>
  <c r="F44" i="21"/>
  <c r="AA44" i="21" s="1"/>
  <c r="J46" i="21"/>
  <c r="W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13" i="33"/>
  <c r="S13" i="33" s="1"/>
  <c r="J31" i="33"/>
  <c r="AC31" i="33" s="1"/>
  <c r="H31" i="33"/>
  <c r="U31" i="33" s="1"/>
  <c r="S31" i="33"/>
  <c r="F45" i="33"/>
  <c r="S45" i="33" s="1"/>
  <c r="H28" i="36"/>
  <c r="U28" i="36" s="1"/>
  <c r="H32" i="36"/>
  <c r="AB32" i="36" s="1"/>
  <c r="J32" i="36"/>
  <c r="W32" i="36" s="1"/>
  <c r="J11" i="36"/>
  <c r="W11" i="36" s="1"/>
  <c r="H13" i="36"/>
  <c r="AB13" i="36" s="1"/>
  <c r="F13" i="36"/>
  <c r="S13" i="36" s="1"/>
  <c r="J29" i="37"/>
  <c r="W29" i="37" s="1"/>
  <c r="F29" i="37"/>
  <c r="AA29" i="37" s="1"/>
  <c r="F105" i="37"/>
  <c r="G105" i="37" s="1"/>
  <c r="AB36" i="37"/>
  <c r="F107" i="37"/>
  <c r="G107" i="37" s="1"/>
  <c r="H107" i="37" s="1"/>
  <c r="I107" i="37" s="1"/>
  <c r="J107" i="37" s="1"/>
  <c r="K107" i="37" s="1"/>
  <c r="L107" i="37" s="1"/>
  <c r="M107" i="37" s="1"/>
  <c r="J37" i="37"/>
  <c r="AC37" i="37" s="1"/>
  <c r="H37" i="37"/>
  <c r="U37" i="37" s="1"/>
  <c r="J40" i="37"/>
  <c r="W40" i="37" s="1"/>
  <c r="H14" i="33"/>
  <c r="U14" i="33" s="1"/>
  <c r="F14" i="33"/>
  <c r="AA14" i="33" s="1"/>
  <c r="J14" i="33"/>
  <c r="AC14" i="33" s="1"/>
  <c r="H30" i="33"/>
  <c r="AB30" i="33" s="1"/>
  <c r="F30" i="33"/>
  <c r="S30" i="33" s="1"/>
  <c r="J30" i="33"/>
  <c r="H44" i="33"/>
  <c r="U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H25" i="35"/>
  <c r="AB25" i="35" s="1"/>
  <c r="F35" i="35"/>
  <c r="S35" i="35" s="1"/>
  <c r="J25" i="36"/>
  <c r="W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J14" i="37"/>
  <c r="W14" i="37" s="1"/>
  <c r="AA38" i="37"/>
  <c r="AB13" i="35"/>
  <c r="W46" i="33"/>
  <c r="U30" i="33"/>
  <c r="J36" i="37"/>
  <c r="AC36" i="37" s="1"/>
  <c r="AB28" i="36"/>
  <c r="AB31" i="21"/>
  <c r="AB13" i="21"/>
  <c r="S46" i="33"/>
  <c r="U36" i="37"/>
  <c r="AB31" i="33"/>
  <c r="AC28" i="33"/>
  <c r="U28"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AZ521" i="3" s="1"/>
  <c r="BA509" i="3"/>
  <c r="BA505" i="3"/>
  <c r="BA501" i="3"/>
  <c r="BA493" i="3"/>
  <c r="AZ493" i="3" s="1"/>
  <c r="BA487" i="3"/>
  <c r="BA19" i="3"/>
  <c r="BA572" i="3"/>
  <c r="BA566" i="3"/>
  <c r="BA562" i="3"/>
  <c r="AZ562" i="3" s="1"/>
  <c r="BA560" i="3"/>
  <c r="BA558" i="3"/>
  <c r="BA556" i="3"/>
  <c r="BA554" i="3"/>
  <c r="BA550" i="3"/>
  <c r="BA546" i="3"/>
  <c r="BA544" i="3"/>
  <c r="AZ544" i="3" s="1"/>
  <c r="BA540" i="3"/>
  <c r="BA536" i="3"/>
  <c r="AZ536" i="3" s="1"/>
  <c r="BA532" i="3"/>
  <c r="BA528" i="3"/>
  <c r="AZ528" i="3" s="1"/>
  <c r="BA524" i="3"/>
  <c r="BA520" i="3"/>
  <c r="AZ520" i="3" s="1"/>
  <c r="BA516" i="3"/>
  <c r="AZ516" i="3" s="1"/>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L566" i="3" s="1"/>
  <c r="AZ566" i="3" s="1"/>
  <c r="BQ564" i="3"/>
  <c r="BL564" i="3"/>
  <c r="BQ562" i="3"/>
  <c r="BL562" i="3"/>
  <c r="BQ560" i="3"/>
  <c r="BL560" i="3" s="1"/>
  <c r="AZ560" i="3" s="1"/>
  <c r="BQ558" i="3"/>
  <c r="BL558" i="3" s="1"/>
  <c r="AZ558" i="3" s="1"/>
  <c r="BQ556" i="3"/>
  <c r="BL556" i="3" s="1"/>
  <c r="AZ556" i="3" s="1"/>
  <c r="BQ554" i="3"/>
  <c r="BQ552" i="3"/>
  <c r="BL552" i="3" s="1"/>
  <c r="AZ552" i="3" s="1"/>
  <c r="BQ550" i="3"/>
  <c r="BL550" i="3" s="1"/>
  <c r="AZ550" i="3" s="1"/>
  <c r="BQ548" i="3"/>
  <c r="BL548" i="3" s="1"/>
  <c r="BQ546" i="3"/>
  <c r="BL546" i="3"/>
  <c r="BQ544" i="3"/>
  <c r="BL544" i="3"/>
  <c r="G544" i="3"/>
  <c r="G538" i="3"/>
  <c r="G534" i="3"/>
  <c r="G530" i="3"/>
  <c r="G526" i="3"/>
  <c r="G522" i="3"/>
  <c r="BQ540" i="3"/>
  <c r="BL540" i="3" s="1"/>
  <c r="AZ540" i="3" s="1"/>
  <c r="BQ538" i="3"/>
  <c r="BL538" i="3" s="1"/>
  <c r="BQ536" i="3"/>
  <c r="BQ534" i="3"/>
  <c r="BL534" i="3"/>
  <c r="BQ532" i="3"/>
  <c r="BL532" i="3"/>
  <c r="AZ532" i="3" s="1"/>
  <c r="BQ530" i="3"/>
  <c r="BQ528" i="3"/>
  <c r="BQ526" i="3"/>
  <c r="BL526" i="3"/>
  <c r="BQ524" i="3"/>
  <c r="BL524" i="3"/>
  <c r="BQ522" i="3"/>
  <c r="BQ520" i="3"/>
  <c r="BL520" i="3" s="1"/>
  <c r="BQ518" i="3"/>
  <c r="BQ516" i="3"/>
  <c r="BL516" i="3"/>
  <c r="BQ514" i="3"/>
  <c r="BL514" i="3"/>
  <c r="BQ512" i="3"/>
  <c r="BQ510" i="3"/>
  <c r="BL510" i="3" s="1"/>
  <c r="AZ510" i="3" s="1"/>
  <c r="BQ508" i="3"/>
  <c r="BL508" i="3" s="1"/>
  <c r="AZ508" i="3" s="1"/>
  <c r="AC506" i="3"/>
  <c r="G506" i="3" s="1"/>
  <c r="BQ506" i="3"/>
  <c r="G502" i="3"/>
  <c r="G498" i="3"/>
  <c r="BQ504" i="3"/>
  <c r="BQ502" i="3"/>
  <c r="BL502" i="3" s="1"/>
  <c r="AZ502" i="3" s="1"/>
  <c r="BQ500" i="3"/>
  <c r="BL500" i="3" s="1"/>
  <c r="AZ500" i="3" s="1"/>
  <c r="BQ498" i="3"/>
  <c r="BQ496" i="3"/>
  <c r="AC494" i="3"/>
  <c r="AC5" i="3" s="1"/>
  <c r="BQ494" i="3"/>
  <c r="BL493" i="3"/>
  <c r="G492" i="3"/>
  <c r="G488" i="3"/>
  <c r="G484" i="3"/>
  <c r="G20" i="3"/>
  <c r="BQ492" i="3"/>
  <c r="BL492" i="3"/>
  <c r="BQ490" i="3"/>
  <c r="BQ488" i="3"/>
  <c r="BL488" i="3" s="1"/>
  <c r="BQ486" i="3"/>
  <c r="BL486" i="3" s="1"/>
  <c r="BQ484" i="3"/>
  <c r="BL484" i="3"/>
  <c r="AZ484" i="3" s="1"/>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U43" i="33" s="1"/>
  <c r="H17" i="37"/>
  <c r="U17" i="37" s="1"/>
  <c r="F23" i="37"/>
  <c r="S23" i="37" s="1"/>
  <c r="F79" i="37"/>
  <c r="G79" i="37" s="1"/>
  <c r="F39" i="33"/>
  <c r="AA39" i="33" s="1"/>
  <c r="E123" i="33"/>
  <c r="F42" i="33"/>
  <c r="AA42" i="33"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B43" i="33"/>
  <c r="W23" i="35"/>
  <c r="U39" i="37"/>
  <c r="AC8" i="37"/>
  <c r="S25" i="37"/>
  <c r="AC36" i="34"/>
  <c r="AC37" i="33"/>
  <c r="S39" i="33"/>
  <c r="F43" i="33"/>
  <c r="AA43" i="33" s="1"/>
  <c r="AA23" i="37"/>
  <c r="S10" i="35"/>
  <c r="AB44" i="33"/>
  <c r="AA9" i="2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AB10" i="37"/>
  <c r="J11" i="37"/>
  <c r="W11" i="37" s="1"/>
  <c r="U31" i="37"/>
  <c r="E90" i="40"/>
  <c r="F21" i="40"/>
  <c r="S21" i="40" s="1"/>
  <c r="W36" i="40"/>
  <c r="F90" i="40"/>
  <c r="J21" i="40"/>
  <c r="AC21" i="40" s="1"/>
  <c r="G90" i="40"/>
  <c r="S27" i="31"/>
  <c r="G483" i="3"/>
  <c r="G515" i="3"/>
  <c r="G507" i="3"/>
  <c r="G501" i="3"/>
  <c r="BA15" i="3"/>
  <c r="BL17" i="3"/>
  <c r="BL15" i="3"/>
  <c r="BA14" i="3"/>
  <c r="AZ14" i="3" s="1"/>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AZ300" i="3" s="1"/>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A43" i="21"/>
  <c r="AA13" i="40"/>
  <c r="E78" i="40"/>
  <c r="F78" i="40" s="1"/>
  <c r="G78" i="40" s="1"/>
  <c r="H78" i="40" s="1"/>
  <c r="I78" i="40" s="1"/>
  <c r="J78" i="40" s="1"/>
  <c r="K78" i="40" s="1"/>
  <c r="L78" i="40" s="1"/>
  <c r="M78" i="40" s="1"/>
  <c r="BH5" i="3"/>
  <c r="R16" i="4"/>
  <c r="P16" i="4"/>
  <c r="D3" i="35"/>
  <c r="G4" i="4"/>
  <c r="S37" i="34"/>
  <c r="J16" i="35"/>
  <c r="W16" i="35" s="1"/>
  <c r="AC26" i="36"/>
  <c r="W25" i="35"/>
  <c r="AZ354" i="3"/>
  <c r="AA36" i="35"/>
  <c r="H11" i="37"/>
  <c r="AB11" i="37" s="1"/>
  <c r="W37" i="37"/>
  <c r="AA30" i="33"/>
  <c r="S42" i="33"/>
  <c r="U32" i="33"/>
  <c r="AB17" i="37"/>
  <c r="AZ524" i="3"/>
  <c r="AZ546" i="3"/>
  <c r="AA45" i="33"/>
  <c r="AC11" i="36"/>
  <c r="AC10" i="36"/>
  <c r="AB45" i="34"/>
  <c r="AC14" i="37"/>
  <c r="AC30" i="33"/>
  <c r="W30" i="33"/>
  <c r="AC29" i="37"/>
  <c r="AC32" i="36"/>
  <c r="U28" i="33"/>
  <c r="AB28" i="33"/>
  <c r="J33" i="34"/>
  <c r="AC33" i="34" s="1"/>
  <c r="AB36" i="34"/>
  <c r="J40" i="34"/>
  <c r="W40" i="34" s="1"/>
  <c r="F16" i="35"/>
  <c r="AA16" i="35" s="1"/>
  <c r="W42" i="33"/>
  <c r="J35" i="34"/>
  <c r="W35" i="34" s="1"/>
  <c r="S30" i="36"/>
  <c r="H16" i="36"/>
  <c r="AB16" i="36" s="1"/>
  <c r="H35" i="37"/>
  <c r="AB35" i="37" s="1"/>
  <c r="S26" i="21"/>
  <c r="H32" i="21"/>
  <c r="U32" i="21" s="1"/>
  <c r="U26" i="21"/>
  <c r="J32" i="21"/>
  <c r="AC32"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H32" i="37"/>
  <c r="AB32" i="37" s="1"/>
  <c r="F19" i="39"/>
  <c r="S19" i="39" s="1"/>
  <c r="H19" i="39"/>
  <c r="U19" i="39" s="1"/>
  <c r="J19" i="39"/>
  <c r="W19" i="39" s="1"/>
  <c r="F43" i="39"/>
  <c r="S43" i="39" s="1"/>
  <c r="H43" i="39"/>
  <c r="U43" i="39" s="1"/>
  <c r="J43" i="39"/>
  <c r="AC43" i="39" s="1"/>
  <c r="S45" i="34"/>
  <c r="U31" i="34"/>
  <c r="AC40" i="37"/>
  <c r="W27" i="33"/>
  <c r="AC45" i="21"/>
  <c r="S28" i="33"/>
  <c r="AA44" i="34"/>
  <c r="AB29" i="35"/>
  <c r="U29" i="35"/>
  <c r="AC19" i="33"/>
  <c r="W19" i="33"/>
  <c r="U43" i="34"/>
  <c r="AB43" i="34"/>
  <c r="AC34" i="37"/>
  <c r="S35" i="37"/>
  <c r="AB10" i="35"/>
  <c r="AA32" i="21"/>
  <c r="AB34" i="21"/>
  <c r="BL571" i="3"/>
  <c r="BA571" i="3"/>
  <c r="AZ571" i="3" s="1"/>
  <c r="BL570" i="3"/>
  <c r="AB40" i="33"/>
  <c r="U40" i="33"/>
  <c r="AA35" i="34"/>
  <c r="S35" i="34"/>
  <c r="E90" i="34"/>
  <c r="H27" i="34"/>
  <c r="AB27" i="34" s="1"/>
  <c r="AB8" i="35"/>
  <c r="U8" i="35"/>
  <c r="S9" i="35"/>
  <c r="J14" i="35"/>
  <c r="AC14" i="35" s="1"/>
  <c r="F14" i="35"/>
  <c r="AA14" i="35" s="1"/>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B29" i="37"/>
  <c r="AA30" i="37"/>
  <c r="S30" i="37"/>
  <c r="AC30" i="37"/>
  <c r="AC31" i="37"/>
  <c r="W31" i="37"/>
  <c r="AB14" i="37"/>
  <c r="F21" i="39"/>
  <c r="S21" i="39" s="1"/>
  <c r="H21" i="39"/>
  <c r="AB21" i="39" s="1"/>
  <c r="J21" i="39"/>
  <c r="W21" i="39" s="1"/>
  <c r="F33" i="39"/>
  <c r="AA33" i="39" s="1"/>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103" i="39" s="1"/>
  <c r="G103"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s="1"/>
  <c r="BL567" i="3"/>
  <c r="BA567" i="3"/>
  <c r="AZ567" i="3"/>
  <c r="BL565" i="3"/>
  <c r="AZ565" i="3"/>
  <c r="BA564" i="3"/>
  <c r="AZ564" i="3"/>
  <c r="BA563" i="3"/>
  <c r="AZ563" i="3"/>
  <c r="BL554" i="3"/>
  <c r="AZ554" i="3"/>
  <c r="BA553" i="3"/>
  <c r="AZ553" i="3"/>
  <c r="BA552" i="3"/>
  <c r="BL549" i="3"/>
  <c r="BA549" i="3"/>
  <c r="BA548" i="3"/>
  <c r="BL547" i="3"/>
  <c r="BA547" i="3"/>
  <c r="BL539" i="3"/>
  <c r="BA539" i="3"/>
  <c r="AZ539" i="3" s="1"/>
  <c r="BA538" i="3"/>
  <c r="AZ538" i="3" s="1"/>
  <c r="BL537" i="3"/>
  <c r="AZ537" i="3" s="1"/>
  <c r="BA537" i="3"/>
  <c r="BL536" i="3"/>
  <c r="BA535" i="3"/>
  <c r="AZ535" i="3" s="1"/>
  <c r="BA534" i="3"/>
  <c r="AZ534" i="3" s="1"/>
  <c r="BA533" i="3"/>
  <c r="AZ533" i="3" s="1"/>
  <c r="BL531" i="3"/>
  <c r="AZ531" i="3" s="1"/>
  <c r="BL530" i="3"/>
  <c r="BA530" i="3"/>
  <c r="BL529" i="3"/>
  <c r="AZ529" i="3" s="1"/>
  <c r="BA529" i="3"/>
  <c r="BL528" i="3"/>
  <c r="BA527" i="3"/>
  <c r="AZ527" i="3" s="1"/>
  <c r="BA526" i="3"/>
  <c r="AZ526" i="3" s="1"/>
  <c r="BA525" i="3"/>
  <c r="AZ525" i="3" s="1"/>
  <c r="BL523" i="3"/>
  <c r="BA523" i="3"/>
  <c r="AZ523" i="3"/>
  <c r="BL522" i="3"/>
  <c r="BA522" i="3"/>
  <c r="AZ522" i="3" s="1"/>
  <c r="BL521" i="3"/>
  <c r="BA519" i="3"/>
  <c r="AZ519" i="3" s="1"/>
  <c r="BL518" i="3"/>
  <c r="AZ518" i="3" s="1"/>
  <c r="BA518" i="3"/>
  <c r="BL517" i="3"/>
  <c r="BA517" i="3"/>
  <c r="AZ517" i="3" s="1"/>
  <c r="BL515" i="3"/>
  <c r="BA515" i="3"/>
  <c r="BA514" i="3"/>
  <c r="AZ514" i="3" s="1"/>
  <c r="BL513" i="3"/>
  <c r="BA513" i="3"/>
  <c r="AZ513" i="3"/>
  <c r="BL512" i="3"/>
  <c r="AZ512" i="3"/>
  <c r="BA511" i="3"/>
  <c r="AZ511" i="3"/>
  <c r="BA510" i="3"/>
  <c r="BL509" i="3"/>
  <c r="AZ509" i="3"/>
  <c r="BL507" i="3"/>
  <c r="BA507" i="3"/>
  <c r="AZ507" i="3" s="1"/>
  <c r="BL506" i="3"/>
  <c r="BA506" i="3"/>
  <c r="AZ506" i="3"/>
  <c r="BL505" i="3"/>
  <c r="AZ505" i="3"/>
  <c r="BL504" i="3"/>
  <c r="BA504" i="3"/>
  <c r="AZ504" i="3" s="1"/>
  <c r="BA503" i="3"/>
  <c r="AZ503" i="3"/>
  <c r="BA500" i="3"/>
  <c r="BL499" i="3"/>
  <c r="BA499" i="3"/>
  <c r="AZ499" i="3" s="1"/>
  <c r="BL498" i="3"/>
  <c r="AZ498" i="3" s="1"/>
  <c r="BL497" i="3"/>
  <c r="BA497" i="3"/>
  <c r="BL496" i="3"/>
  <c r="AZ496" i="3" s="1"/>
  <c r="BA496" i="3"/>
  <c r="BA495" i="3"/>
  <c r="AZ495" i="3"/>
  <c r="BL494" i="3"/>
  <c r="BA494" i="3"/>
  <c r="AZ494" i="3" s="1"/>
  <c r="G494" i="3"/>
  <c r="BA491" i="3"/>
  <c r="AZ491" i="3"/>
  <c r="BL490" i="3"/>
  <c r="BA490" i="3"/>
  <c r="AZ490" i="3" s="1"/>
  <c r="BL489" i="3"/>
  <c r="BA489" i="3"/>
  <c r="AZ489" i="3"/>
  <c r="BL487" i="3"/>
  <c r="AZ487" i="3"/>
  <c r="BA486" i="3"/>
  <c r="BA485" i="3"/>
  <c r="AZ485" i="3"/>
  <c r="BA483" i="3"/>
  <c r="AZ483" i="3"/>
  <c r="BA482" i="3"/>
  <c r="AZ482" i="3"/>
  <c r="BL481" i="3"/>
  <c r="BJ5" i="3"/>
  <c r="BA481" i="3"/>
  <c r="AZ481" i="3"/>
  <c r="BL19" i="3"/>
  <c r="AZ19" i="3" s="1"/>
  <c r="BA18" i="3"/>
  <c r="F36" i="44"/>
  <c r="H38" i="34"/>
  <c r="U38" i="34" s="1"/>
  <c r="H30" i="40"/>
  <c r="AB30" i="40" s="1"/>
  <c r="F38" i="40"/>
  <c r="AA38" i="40" s="1"/>
  <c r="AA36" i="34"/>
  <c r="AC12" i="21"/>
  <c r="W12" i="21"/>
  <c r="S35" i="21"/>
  <c r="AB10" i="21"/>
  <c r="U8" i="21"/>
  <c r="AB8" i="21"/>
  <c r="S34" i="21"/>
  <c r="AC36" i="21"/>
  <c r="AB8" i="33"/>
  <c r="U8" i="33"/>
  <c r="E106" i="33"/>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15" i="34"/>
  <c r="AA15" i="34" s="1"/>
  <c r="AC28" i="35"/>
  <c r="W28" i="35"/>
  <c r="J20" i="35"/>
  <c r="AC20" i="35" s="1"/>
  <c r="E72" i="35"/>
  <c r="F72" i="35" s="1"/>
  <c r="G72" i="35" s="1"/>
  <c r="H22" i="35"/>
  <c r="AB22" i="35" s="1"/>
  <c r="H23" i="35"/>
  <c r="AB23" i="35" s="1"/>
  <c r="F23" i="35"/>
  <c r="AA23" i="35" s="1"/>
  <c r="W12" i="36"/>
  <c r="AC12" i="36"/>
  <c r="U31" i="36"/>
  <c r="S8" i="37"/>
  <c r="AA8" i="37"/>
  <c r="F14" i="39"/>
  <c r="AA14" i="39" s="1"/>
  <c r="H14" i="39"/>
  <c r="AB14" i="39" s="1"/>
  <c r="J14" i="39"/>
  <c r="AC14" i="39" s="1"/>
  <c r="F16" i="39"/>
  <c r="AA16" i="39" s="1"/>
  <c r="H16" i="39"/>
  <c r="U16" i="39" s="1"/>
  <c r="J16" i="39"/>
  <c r="AC16" i="39" s="1"/>
  <c r="E97" i="39"/>
  <c r="F23" i="39" s="1"/>
  <c r="AA23" i="39" s="1"/>
  <c r="F27" i="39"/>
  <c r="AA27" i="39" s="1"/>
  <c r="H27" i="39"/>
  <c r="AB27" i="39" s="1"/>
  <c r="J27" i="39"/>
  <c r="AC27" i="39" s="1"/>
  <c r="F15" i="40"/>
  <c r="AA15" i="40" s="1"/>
  <c r="J15" i="40"/>
  <c r="H15" i="40"/>
  <c r="AB15" i="40" s="1"/>
  <c r="E92" i="40"/>
  <c r="F92" i="40"/>
  <c r="G92" i="40" s="1"/>
  <c r="H23" i="40"/>
  <c r="U23" i="40" s="1"/>
  <c r="H41" i="40"/>
  <c r="AB41" i="40" s="1"/>
  <c r="F41" i="40"/>
  <c r="AA41" i="40" s="1"/>
  <c r="J41" i="40"/>
  <c r="AC41" i="40" s="1"/>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s="1"/>
  <c r="AZ399" i="3"/>
  <c r="AZ403" i="3"/>
  <c r="AZ407" i="3"/>
  <c r="AZ415" i="3"/>
  <c r="AZ423" i="3"/>
  <c r="AZ431" i="3"/>
  <c r="AZ439" i="3"/>
  <c r="AZ454" i="3"/>
  <c r="B41" i="1"/>
  <c r="F27" i="43"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F34" i="44"/>
  <c r="F66" i="9"/>
  <c r="P72" i="9" s="1"/>
  <c r="F72" i="9"/>
  <c r="AC14" i="40"/>
  <c r="W35" i="40"/>
  <c r="S33" i="40"/>
  <c r="AB32" i="40"/>
  <c r="S47" i="39"/>
  <c r="AB37" i="34"/>
  <c r="W41" i="40"/>
  <c r="J23" i="40"/>
  <c r="AC23" i="40" s="1"/>
  <c r="F23" i="40"/>
  <c r="S23" i="40" s="1"/>
  <c r="AC15" i="40"/>
  <c r="W15" i="40"/>
  <c r="AB16" i="39"/>
  <c r="U23" i="35"/>
  <c r="H20" i="35"/>
  <c r="U20" i="35" s="1"/>
  <c r="F20" i="35"/>
  <c r="S20" i="35" s="1"/>
  <c r="H15" i="34"/>
  <c r="AB15" i="34" s="1"/>
  <c r="F78" i="34"/>
  <c r="G78" i="34"/>
  <c r="J15" i="34"/>
  <c r="H41" i="33"/>
  <c r="U41" i="33" s="1"/>
  <c r="F30" i="40"/>
  <c r="AA30" i="40" s="1"/>
  <c r="AB38" i="34"/>
  <c r="AZ497" i="3"/>
  <c r="AZ515" i="3"/>
  <c r="AZ530" i="3"/>
  <c r="AZ547" i="3"/>
  <c r="AZ549" i="3"/>
  <c r="AB37" i="39"/>
  <c r="AA29" i="35"/>
  <c r="J29" i="39"/>
  <c r="AC29" i="39" s="1"/>
  <c r="AB33" i="36"/>
  <c r="AA11" i="36"/>
  <c r="S14" i="35"/>
  <c r="U46" i="34"/>
  <c r="AA14" i="34"/>
  <c r="U29" i="33"/>
  <c r="U17" i="34"/>
  <c r="AA11" i="34"/>
  <c r="W32" i="33"/>
  <c r="H15" i="33"/>
  <c r="U15" i="33" s="1"/>
  <c r="AA11" i="33"/>
  <c r="W34" i="40"/>
  <c r="AB42" i="40"/>
  <c r="AC16" i="40"/>
  <c r="H25" i="40"/>
  <c r="AB25" i="40" s="1"/>
  <c r="U47" i="39"/>
  <c r="W15" i="39"/>
  <c r="J37" i="34"/>
  <c r="AC37" i="34" s="1"/>
  <c r="J36" i="33"/>
  <c r="W36" i="33" s="1"/>
  <c r="S41" i="40"/>
  <c r="AB23" i="40"/>
  <c r="H23" i="39"/>
  <c r="AB23" i="39" s="1"/>
  <c r="F97" i="39"/>
  <c r="G97" i="39" s="1"/>
  <c r="S15" i="34"/>
  <c r="AA41" i="33"/>
  <c r="AA34" i="33"/>
  <c r="F106" i="33"/>
  <c r="G106" i="33" s="1"/>
  <c r="H106" i="33" s="1"/>
  <c r="I106" i="33" s="1"/>
  <c r="J106" i="33" s="1"/>
  <c r="K106" i="33" s="1"/>
  <c r="L106" i="33" s="1"/>
  <c r="M106" i="33" s="1"/>
  <c r="J34" i="33"/>
  <c r="AC34" i="33" s="1"/>
  <c r="AA37" i="39"/>
  <c r="AC39" i="39"/>
  <c r="W39" i="39"/>
  <c r="AA39" i="39"/>
  <c r="S39" i="39"/>
  <c r="AB46" i="39"/>
  <c r="S33" i="39"/>
  <c r="F80" i="35"/>
  <c r="G80" i="35" s="1"/>
  <c r="H80" i="35" s="1"/>
  <c r="I80" i="35" s="1"/>
  <c r="J80" i="35" s="1"/>
  <c r="K80" i="35" s="1"/>
  <c r="L80" i="35" s="1"/>
  <c r="M80" i="35" s="1"/>
  <c r="W14" i="35"/>
  <c r="F90" i="34"/>
  <c r="G90" i="34" s="1"/>
  <c r="H90" i="34" s="1"/>
  <c r="I90" i="34" s="1"/>
  <c r="J90" i="34" s="1"/>
  <c r="K90" i="34" s="1"/>
  <c r="L90" i="34" s="1"/>
  <c r="M90" i="34" s="1"/>
  <c r="F27" i="34"/>
  <c r="S27" i="34"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40" i="21"/>
  <c r="AC13" i="40"/>
  <c r="J11" i="34"/>
  <c r="W11" i="34" s="1"/>
  <c r="AC36" i="33"/>
  <c r="F25" i="40"/>
  <c r="AA25" i="40" s="1"/>
  <c r="J11" i="33"/>
  <c r="W11" i="33" s="1"/>
  <c r="H33" i="37"/>
  <c r="AB33" i="37" s="1"/>
  <c r="W15" i="34"/>
  <c r="AC15" i="34"/>
  <c r="AB20" i="35"/>
  <c r="D73" i="9"/>
  <c r="N73" i="9" s="1"/>
  <c r="J51" i="15"/>
  <c r="B11" i="1"/>
  <c r="E11" i="1" s="1"/>
  <c r="B9" i="1"/>
  <c r="E9" i="1" s="1"/>
  <c r="B7" i="1"/>
  <c r="E7" i="1" s="1"/>
  <c r="E25" i="6" l="1"/>
  <c r="K12" i="1" s="1"/>
  <c r="H42" i="6"/>
  <c r="E23" i="6"/>
  <c r="G9" i="12" s="1"/>
  <c r="G41" i="6"/>
  <c r="I41" i="6" s="1"/>
  <c r="E22" i="6"/>
  <c r="K9" i="1" s="1"/>
  <c r="AH9" i="1" s="1"/>
  <c r="F22" i="6"/>
  <c r="G40" i="6" s="1"/>
  <c r="I40" i="6" s="1"/>
  <c r="E21" i="6"/>
  <c r="K8" i="1" s="1"/>
  <c r="AH8" i="1" s="1"/>
  <c r="G39" i="6"/>
  <c r="I39" i="6" s="1"/>
  <c r="E20" i="6"/>
  <c r="D3" i="75" s="1"/>
  <c r="G38" i="6"/>
  <c r="I38" i="6" s="1"/>
  <c r="G13" i="3"/>
  <c r="BL13" i="3"/>
  <c r="F7" i="1"/>
  <c r="C42" i="1"/>
  <c r="C7" i="75"/>
  <c r="C58" i="75" s="1"/>
  <c r="J51" i="73"/>
  <c r="J51" i="71"/>
  <c r="J51" i="74"/>
  <c r="J51" i="72"/>
  <c r="E19" i="6"/>
  <c r="K6" i="1" s="1"/>
  <c r="M6" i="1" s="1"/>
  <c r="G37" i="6"/>
  <c r="I9" i="12"/>
  <c r="G1" i="72"/>
  <c r="G1" i="71"/>
  <c r="F9" i="12"/>
  <c r="K1" i="69"/>
  <c r="G1" i="74"/>
  <c r="G1" i="73"/>
  <c r="U21" i="39"/>
  <c r="M12" i="1"/>
  <c r="O12" i="1" s="1"/>
  <c r="P12" i="1" s="1"/>
  <c r="M11" i="1"/>
  <c r="O11" i="1" s="1"/>
  <c r="P11" i="1" s="1"/>
  <c r="AH11" i="1"/>
  <c r="M9" i="1"/>
  <c r="O9" i="1" s="1"/>
  <c r="P9" i="1" s="1"/>
  <c r="AP11" i="1"/>
  <c r="F10" i="1"/>
  <c r="AP12" i="1"/>
  <c r="F34" i="15"/>
  <c r="F61" i="15" s="1"/>
  <c r="F34" i="74"/>
  <c r="M20" i="74"/>
  <c r="F34" i="73"/>
  <c r="M20" i="73"/>
  <c r="F34" i="72"/>
  <c r="M20" i="72"/>
  <c r="F34" i="71"/>
  <c r="M20" i="71"/>
  <c r="D9" i="69"/>
  <c r="D10" i="69" s="1"/>
  <c r="G15" i="3"/>
  <c r="C9" i="69"/>
  <c r="C10" i="69" s="1"/>
  <c r="F8" i="1"/>
  <c r="AP8" i="1" s="1"/>
  <c r="F17" i="21"/>
  <c r="S17" i="21" s="1"/>
  <c r="C2" i="65"/>
  <c r="I1" i="65" s="1"/>
  <c r="G27" i="69"/>
  <c r="G28" i="69"/>
  <c r="G26" i="69"/>
  <c r="AA12" i="21"/>
  <c r="S12" i="21"/>
  <c r="W14" i="21"/>
  <c r="AC14" i="21"/>
  <c r="AA28" i="21"/>
  <c r="S28" i="21"/>
  <c r="U44" i="21"/>
  <c r="AB44" i="21"/>
  <c r="AB46" i="21"/>
  <c r="U46" i="21"/>
  <c r="U27" i="33"/>
  <c r="AB27" i="33"/>
  <c r="AC27" i="34"/>
  <c r="W27" i="34"/>
  <c r="W29" i="33"/>
  <c r="AC29" i="33"/>
  <c r="AC44" i="33"/>
  <c r="W44" i="33"/>
  <c r="AB36" i="35"/>
  <c r="U36" i="35"/>
  <c r="W13" i="36"/>
  <c r="AC13" i="36"/>
  <c r="W33" i="36"/>
  <c r="AC33" i="36"/>
  <c r="W26" i="37"/>
  <c r="AC26" i="37"/>
  <c r="U40" i="37"/>
  <c r="AB40" i="37"/>
  <c r="AZ486" i="3"/>
  <c r="AZ548" i="3"/>
  <c r="AZ488" i="3"/>
  <c r="AZ572" i="3"/>
  <c r="AC9" i="33"/>
  <c r="W9" i="33"/>
  <c r="S28" i="34"/>
  <c r="AA28" i="34"/>
  <c r="U45" i="33"/>
  <c r="AB45" i="33"/>
  <c r="AA25" i="35"/>
  <c r="S25" i="35"/>
  <c r="AC35" i="35"/>
  <c r="W35" i="35"/>
  <c r="U27" i="37"/>
  <c r="AB27" i="37"/>
  <c r="J30" i="40"/>
  <c r="AC30" i="40" s="1"/>
  <c r="H100" i="40"/>
  <c r="I100" i="40" s="1"/>
  <c r="J100" i="40" s="1"/>
  <c r="K100" i="40" s="1"/>
  <c r="L100" i="40" s="1"/>
  <c r="M100" i="40" s="1"/>
  <c r="AZ389" i="3"/>
  <c r="W23" i="40"/>
  <c r="AC16" i="35"/>
  <c r="U11" i="37"/>
  <c r="U11" i="36"/>
  <c r="W29" i="35"/>
  <c r="U30" i="40"/>
  <c r="S16" i="39"/>
  <c r="J23" i="39"/>
  <c r="AC23" i="39" s="1"/>
  <c r="W32" i="40"/>
  <c r="AB34" i="40"/>
  <c r="U16" i="40"/>
  <c r="AA40" i="21"/>
  <c r="AC13" i="33"/>
  <c r="W12" i="34"/>
  <c r="AC30" i="34"/>
  <c r="U39" i="39"/>
  <c r="U41" i="40"/>
  <c r="AC47" i="39"/>
  <c r="F71" i="9"/>
  <c r="W40" i="40"/>
  <c r="H29" i="39"/>
  <c r="U29" i="39" s="1"/>
  <c r="F29" i="39"/>
  <c r="AA29" i="39" s="1"/>
  <c r="S14" i="21"/>
  <c r="U25" i="35"/>
  <c r="H17" i="21"/>
  <c r="S24" i="36"/>
  <c r="AA36" i="37"/>
  <c r="U43" i="21"/>
  <c r="AB15" i="37"/>
  <c r="U12" i="37"/>
  <c r="AA13" i="33"/>
  <c r="AB8" i="34"/>
  <c r="AC23" i="37"/>
  <c r="AC41" i="34"/>
  <c r="H28" i="34"/>
  <c r="AB28" i="34" s="1"/>
  <c r="AC28" i="34"/>
  <c r="W31" i="34"/>
  <c r="J27" i="37"/>
  <c r="F27" i="37"/>
  <c r="H35" i="35"/>
  <c r="F40" i="37"/>
  <c r="AA40" i="37" s="1"/>
  <c r="J45" i="33"/>
  <c r="F27" i="33"/>
  <c r="F46" i="21"/>
  <c r="J30" i="21"/>
  <c r="H14" i="21"/>
  <c r="W43" i="34"/>
  <c r="AB40" i="34"/>
  <c r="AC34" i="36"/>
  <c r="AB8" i="36"/>
  <c r="F86" i="40"/>
  <c r="G86" i="40" s="1"/>
  <c r="AC35" i="21"/>
  <c r="S8" i="21"/>
  <c r="W33" i="33"/>
  <c r="S40" i="33"/>
  <c r="W9" i="34"/>
  <c r="W39" i="37"/>
  <c r="W41" i="21"/>
  <c r="H12" i="21"/>
  <c r="U12" i="21" s="1"/>
  <c r="J19" i="21"/>
  <c r="W19" i="21" s="1"/>
  <c r="F19" i="21"/>
  <c r="AA19" i="21" s="1"/>
  <c r="BI5" i="3"/>
  <c r="BE5" i="3"/>
  <c r="F9" i="33"/>
  <c r="AA9" i="33" s="1"/>
  <c r="J12" i="35"/>
  <c r="J36" i="35"/>
  <c r="F26" i="37"/>
  <c r="AA26" i="37" s="1"/>
  <c r="C92" i="9"/>
  <c r="C18" i="9"/>
  <c r="AZ206" i="3"/>
  <c r="AZ210" i="3"/>
  <c r="AZ222" i="3"/>
  <c r="AZ226" i="3"/>
  <c r="AZ238" i="3"/>
  <c r="AZ242" i="3"/>
  <c r="AZ258" i="3"/>
  <c r="AZ269" i="3"/>
  <c r="AZ272" i="3"/>
  <c r="S17" i="34"/>
  <c r="H5" i="3"/>
  <c r="H113" i="21"/>
  <c r="F37" i="21"/>
  <c r="S37" i="21" s="1"/>
  <c r="B65" i="63"/>
  <c r="A14" i="55"/>
  <c r="F9" i="1"/>
  <c r="G9" i="1" s="1"/>
  <c r="AZ396" i="3"/>
  <c r="AZ400" i="3"/>
  <c r="AZ404" i="3"/>
  <c r="AZ416" i="3"/>
  <c r="AZ421" i="3"/>
  <c r="AZ435" i="3"/>
  <c r="AZ440" i="3"/>
  <c r="AZ453" i="3"/>
  <c r="AZ460" i="3"/>
  <c r="AZ464" i="3"/>
  <c r="AZ476" i="3"/>
  <c r="AZ480" i="3"/>
  <c r="AZ368" i="3"/>
  <c r="AZ384" i="3"/>
  <c r="AZ386" i="3"/>
  <c r="AZ218" i="3"/>
  <c r="AZ250" i="3"/>
  <c r="AZ266" i="3"/>
  <c r="AZ279" i="3"/>
  <c r="AZ291" i="3"/>
  <c r="AZ294" i="3"/>
  <c r="AZ113" i="3"/>
  <c r="AZ116" i="3"/>
  <c r="AZ129" i="3"/>
  <c r="AZ132" i="3"/>
  <c r="AZ145" i="3"/>
  <c r="AZ148" i="3"/>
  <c r="BA21" i="3"/>
  <c r="AZ21" i="3" s="1"/>
  <c r="AZ25" i="3"/>
  <c r="AZ28" i="3"/>
  <c r="AZ30" i="3"/>
  <c r="AZ46" i="3"/>
  <c r="AZ37" i="3"/>
  <c r="AZ44" i="3"/>
  <c r="AZ53" i="3"/>
  <c r="AZ60" i="3"/>
  <c r="AZ92" i="3"/>
  <c r="AZ97" i="3"/>
  <c r="AZ108" i="3"/>
  <c r="AZ68" i="3"/>
  <c r="AZ72" i="3"/>
  <c r="AZ75" i="3"/>
  <c r="AZ77" i="3"/>
  <c r="AZ81" i="3"/>
  <c r="I21" i="57"/>
  <c r="D1" i="57"/>
  <c r="E10" i="57" s="1"/>
  <c r="S45" i="21"/>
  <c r="AB12" i="21"/>
  <c r="S10" i="21"/>
  <c r="G123" i="21"/>
  <c r="H123" i="21" s="1"/>
  <c r="I123" i="21" s="1"/>
  <c r="J123" i="21" s="1"/>
  <c r="K123" i="21" s="1"/>
  <c r="L123" i="21" s="1"/>
  <c r="M123" i="21" s="1"/>
  <c r="H42" i="21"/>
  <c r="F42" i="21"/>
  <c r="AA42" i="21" s="1"/>
  <c r="W42" i="21"/>
  <c r="AA38" i="21"/>
  <c r="U38" i="21"/>
  <c r="U39" i="21"/>
  <c r="AA36" i="21"/>
  <c r="AB30" i="21"/>
  <c r="U19" i="21"/>
  <c r="W9" i="21"/>
  <c r="U9" i="21"/>
  <c r="W14" i="39"/>
  <c r="AB36" i="21"/>
  <c r="A30" i="51"/>
  <c r="A30" i="64"/>
  <c r="F91" i="39"/>
  <c r="G91" i="39" s="1"/>
  <c r="H17" i="39"/>
  <c r="U17" i="39" s="1"/>
  <c r="F17" i="39"/>
  <c r="AA17" i="39" s="1"/>
  <c r="J17" i="39"/>
  <c r="W17" i="39" s="1"/>
  <c r="U34" i="39"/>
  <c r="U27" i="39"/>
  <c r="AB25" i="39"/>
  <c r="AB19" i="39"/>
  <c r="AB17" i="39"/>
  <c r="U40" i="39"/>
  <c r="S23" i="39"/>
  <c r="AA19" i="39"/>
  <c r="S17" i="39"/>
  <c r="AB44" i="39"/>
  <c r="AA43" i="39"/>
  <c r="AC33" i="39"/>
  <c r="W27" i="39"/>
  <c r="C29" i="39"/>
  <c r="W43" i="39"/>
  <c r="G14" i="3"/>
  <c r="A2" i="55"/>
  <c r="B55" i="63" s="1"/>
  <c r="A11" i="55"/>
  <c r="B62" i="63" s="1"/>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AC21"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H44" i="6" s="1"/>
  <c r="H46" i="6" s="1"/>
  <c r="BS5" i="3"/>
  <c r="BQ5" i="3"/>
  <c r="BL16" i="3"/>
  <c r="BL5" i="3" s="1"/>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s="1"/>
  <c r="H75" i="46" s="1"/>
  <c r="M4" i="46"/>
  <c r="M12" i="46"/>
  <c r="M8" i="46"/>
  <c r="M3" i="46"/>
  <c r="M5" i="46"/>
  <c r="C6" i="46" s="1"/>
  <c r="H6" i="48"/>
  <c r="E9" i="46"/>
  <c r="H15" i="48"/>
  <c r="H5" i="48"/>
  <c r="H14" i="48"/>
  <c r="F38" i="46"/>
  <c r="F36" i="46"/>
  <c r="F34" i="46"/>
  <c r="J17" i="46"/>
  <c r="C17" i="46"/>
  <c r="F39" i="46"/>
  <c r="H13" i="48"/>
  <c r="H11" i="48"/>
  <c r="E8" i="46"/>
  <c r="I17" i="46"/>
  <c r="C16" i="46" s="1"/>
  <c r="C5" i="46" s="1"/>
  <c r="E17" i="46"/>
  <c r="D71" i="46"/>
  <c r="D84" i="46"/>
  <c r="E80" i="46" s="1"/>
  <c r="B78" i="46" s="1"/>
  <c r="D69" i="46"/>
  <c r="E69" i="46" s="1"/>
  <c r="B67" i="46" s="1"/>
  <c r="E47" i="46"/>
  <c r="E58" i="46"/>
  <c r="C52" i="15"/>
  <c r="A4" i="64"/>
  <c r="A4" i="51"/>
  <c r="B6" i="63" s="1"/>
  <c r="C51" i="10"/>
  <c r="H58" i="46"/>
  <c r="H61" i="46"/>
  <c r="H62" i="46"/>
  <c r="H71"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30" i="9"/>
  <c r="C25" i="9" s="1"/>
  <c r="AP7" i="1"/>
  <c r="G7"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69" i="46"/>
  <c r="H86" i="46"/>
  <c r="H82" i="46"/>
  <c r="H63" i="46"/>
  <c r="H59" i="46"/>
  <c r="H64" i="46"/>
  <c r="H60" i="46"/>
  <c r="H10" i="48"/>
  <c r="H87" i="46"/>
  <c r="H85" i="46"/>
  <c r="H83" i="46"/>
  <c r="O13" i="1"/>
  <c r="P13" i="1" s="1"/>
  <c r="K10" i="1"/>
  <c r="S13" i="1"/>
  <c r="R13" i="1"/>
  <c r="B6" i="1"/>
  <c r="E6" i="1" s="1"/>
  <c r="B10" i="1"/>
  <c r="E10" i="1" s="1"/>
  <c r="B8" i="1"/>
  <c r="E8" i="1" s="1"/>
  <c r="B12" i="1"/>
  <c r="E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K7" i="1" l="1"/>
  <c r="M7" i="1" s="1"/>
  <c r="O7" i="1" s="1"/>
  <c r="P7" i="1" s="1"/>
  <c r="M8" i="1"/>
  <c r="O8" i="1" s="1"/>
  <c r="P8" i="1" s="1"/>
  <c r="E9" i="12"/>
  <c r="D9" i="12"/>
  <c r="H43" i="6"/>
  <c r="H47" i="6" s="1"/>
  <c r="I42" i="6"/>
  <c r="E32" i="6"/>
  <c r="AB11" i="46"/>
  <c r="AB13" i="46" s="1"/>
  <c r="G43" i="6"/>
  <c r="I37" i="6"/>
  <c r="I43" i="6" s="1"/>
  <c r="C15" i="43"/>
  <c r="G8" i="1"/>
  <c r="D58" i="75"/>
  <c r="E58" i="75" s="1"/>
  <c r="F58" i="75" s="1"/>
  <c r="G58" i="75" s="1"/>
  <c r="H58" i="75" s="1"/>
  <c r="I58" i="75" s="1"/>
  <c r="J58" i="75" s="1"/>
  <c r="K58" i="75" s="1"/>
  <c r="L58" i="75" s="1"/>
  <c r="M58" i="75" s="1"/>
  <c r="N58" i="75" s="1"/>
  <c r="O58" i="75" s="1"/>
  <c r="F7" i="75"/>
  <c r="H7" i="75"/>
  <c r="J7" i="75"/>
  <c r="C25" i="69"/>
  <c r="C28" i="74"/>
  <c r="C28" i="72"/>
  <c r="C28" i="71"/>
  <c r="C28" i="73"/>
  <c r="W23" i="39"/>
  <c r="C9" i="12"/>
  <c r="D3" i="21"/>
  <c r="S19" i="21"/>
  <c r="M10" i="1"/>
  <c r="AH10" i="1"/>
  <c r="AA15" i="21"/>
  <c r="AP10" i="1"/>
  <c r="G10" i="1"/>
  <c r="AP9" i="1"/>
  <c r="F61" i="71"/>
  <c r="F61" i="72"/>
  <c r="F61" i="73"/>
  <c r="F61" i="74"/>
  <c r="AB29" i="39"/>
  <c r="S29" i="39"/>
  <c r="W12" i="35"/>
  <c r="AC12" i="35"/>
  <c r="AC30" i="21"/>
  <c r="W30" i="21"/>
  <c r="S27" i="33"/>
  <c r="AA27" i="33"/>
  <c r="AA27" i="37"/>
  <c r="S27" i="37"/>
  <c r="AB17" i="21"/>
  <c r="U17" i="21"/>
  <c r="H74" i="46"/>
  <c r="H73" i="46"/>
  <c r="C7" i="46"/>
  <c r="AC36" i="35"/>
  <c r="W36" i="35"/>
  <c r="U14" i="21"/>
  <c r="AB14" i="21"/>
  <c r="AA46" i="21"/>
  <c r="S46" i="21"/>
  <c r="W45" i="33"/>
  <c r="AC45" i="33"/>
  <c r="U35" i="35"/>
  <c r="AB35" i="35"/>
  <c r="W27" i="37"/>
  <c r="AC27" i="37"/>
  <c r="AC23" i="21"/>
  <c r="AB42" i="21"/>
  <c r="U42" i="21"/>
  <c r="AC17" i="39"/>
  <c r="G6" i="1"/>
  <c r="E86" i="3"/>
  <c r="AE11" i="46"/>
  <c r="AE13" i="46" s="1"/>
  <c r="F29" i="6"/>
  <c r="G45" i="6" s="1"/>
  <c r="I45" i="6" s="1"/>
  <c r="F28" i="6"/>
  <c r="G44" i="6" s="1"/>
  <c r="I44" i="6" s="1"/>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C104"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D21" i="69" s="1"/>
  <c r="C21" i="69" s="1"/>
  <c r="X6" i="3"/>
  <c r="E534" i="3"/>
  <c r="E349" i="3"/>
  <c r="E492" i="3"/>
  <c r="E321" i="3"/>
  <c r="E472" i="3"/>
  <c r="O6" i="1"/>
  <c r="P6" i="1"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E28" i="6"/>
  <c r="E13" i="6"/>
  <c r="E11" i="6"/>
  <c r="H70" i="46"/>
  <c r="H72" i="46"/>
  <c r="J12" i="44"/>
  <c r="A9" i="64"/>
  <c r="A9" i="51"/>
  <c r="B9" i="63" s="1"/>
  <c r="T8" i="46"/>
  <c r="V8" i="46" s="1"/>
  <c r="T10" i="46"/>
  <c r="V10" i="46" s="1"/>
  <c r="T12" i="46"/>
  <c r="V12" i="46" s="1"/>
  <c r="T14" i="46"/>
  <c r="V14" i="46" s="1"/>
  <c r="T16" i="46"/>
  <c r="V16" i="46" s="1"/>
  <c r="T9" i="46"/>
  <c r="V9" i="46" s="1"/>
  <c r="T11" i="46"/>
  <c r="V11" i="46" s="1"/>
  <c r="T13" i="46"/>
  <c r="V13" i="46" s="1"/>
  <c r="T15" i="46"/>
  <c r="V15"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C37" i="46"/>
  <c r="G37" i="46" s="1"/>
  <c r="I37" i="46" s="1"/>
  <c r="Q16" i="1"/>
  <c r="E4" i="4"/>
  <c r="C4" i="4"/>
  <c r="G66" i="36"/>
  <c r="J18" i="36"/>
  <c r="AE6" i="1"/>
  <c r="F33" i="44"/>
  <c r="M19" i="44"/>
  <c r="F58" i="15"/>
  <c r="M17" i="15"/>
  <c r="F31" i="15"/>
  <c r="J15" i="71"/>
  <c r="L48" i="71"/>
  <c r="F43" i="71"/>
  <c r="M23" i="73"/>
  <c r="M8" i="72"/>
  <c r="M26" i="74"/>
  <c r="F26" i="15"/>
  <c r="M28" i="73"/>
  <c r="M22" i="73"/>
  <c r="L47" i="71"/>
  <c r="M24" i="44"/>
  <c r="F13" i="72"/>
  <c r="J15" i="74"/>
  <c r="F37" i="72"/>
  <c r="F40" i="74"/>
  <c r="L47" i="74"/>
  <c r="M6" i="73"/>
  <c r="F8" i="74"/>
  <c r="F13" i="71"/>
  <c r="F9" i="15"/>
  <c r="M9" i="72"/>
  <c r="M23" i="74"/>
  <c r="F36" i="73"/>
  <c r="M24" i="15"/>
  <c r="M29" i="44"/>
  <c r="F38" i="71"/>
  <c r="F9" i="44"/>
  <c r="M22" i="72"/>
  <c r="M28" i="15"/>
  <c r="F6" i="15"/>
  <c r="F9" i="74"/>
  <c r="F8" i="44"/>
  <c r="M9" i="71"/>
  <c r="F16" i="73"/>
  <c r="F8" i="72"/>
  <c r="F18" i="44"/>
  <c r="F42" i="71"/>
  <c r="F13" i="73"/>
  <c r="F16" i="72"/>
  <c r="L48" i="44"/>
  <c r="J36" i="73"/>
  <c r="M26" i="44"/>
  <c r="M8" i="74"/>
  <c r="F16" i="71"/>
  <c r="M28" i="44"/>
  <c r="M23" i="72"/>
  <c r="M31" i="44"/>
  <c r="F38" i="74"/>
  <c r="M24" i="74"/>
  <c r="L48" i="74"/>
  <c r="M22" i="71"/>
  <c r="F43" i="44"/>
  <c r="F40" i="72"/>
  <c r="F26" i="74"/>
  <c r="F16" i="74"/>
  <c r="F6" i="74"/>
  <c r="F7" i="74"/>
  <c r="M23" i="71"/>
  <c r="F37" i="74"/>
  <c r="F38" i="72"/>
  <c r="M24" i="73"/>
  <c r="L49" i="44"/>
  <c r="L47" i="15"/>
  <c r="F7" i="15"/>
  <c r="M11" i="44"/>
  <c r="F43" i="72"/>
  <c r="F13" i="74"/>
  <c r="F10" i="44"/>
  <c r="F7" i="71"/>
  <c r="L47" i="73"/>
  <c r="F43" i="73"/>
  <c r="M27" i="74"/>
  <c r="F40" i="71"/>
  <c r="M26" i="72"/>
  <c r="M29" i="74"/>
  <c r="F15" i="44"/>
  <c r="M27" i="73"/>
  <c r="F16" i="15"/>
  <c r="F36" i="71"/>
  <c r="M22" i="74"/>
  <c r="F6" i="72"/>
  <c r="F13" i="15"/>
  <c r="F40" i="73"/>
  <c r="F9" i="73"/>
  <c r="M25" i="44"/>
  <c r="M6" i="71"/>
  <c r="M9" i="73"/>
  <c r="M27" i="15"/>
  <c r="M29" i="73"/>
  <c r="M28" i="71"/>
  <c r="F6" i="73"/>
  <c r="J15" i="72"/>
  <c r="M6" i="74"/>
  <c r="F45" i="44"/>
  <c r="J36" i="74"/>
  <c r="L48" i="72"/>
  <c r="M27" i="71"/>
  <c r="F43" i="15"/>
  <c r="M28" i="72"/>
  <c r="F7" i="73"/>
  <c r="L48" i="73"/>
  <c r="F8" i="71"/>
  <c r="M8" i="73"/>
  <c r="M26" i="71"/>
  <c r="J17" i="44"/>
  <c r="F42" i="72"/>
  <c r="J36" i="15"/>
  <c r="M26" i="73"/>
  <c r="F40" i="44"/>
  <c r="F43" i="74"/>
  <c r="F26" i="73"/>
  <c r="F42" i="73"/>
  <c r="J36" i="71"/>
  <c r="M29" i="72"/>
  <c r="F9" i="72"/>
  <c r="F11" i="44"/>
  <c r="J36" i="72"/>
  <c r="F39" i="44"/>
  <c r="F36" i="74"/>
  <c r="F26" i="71"/>
  <c r="M30" i="44"/>
  <c r="M6" i="72"/>
  <c r="M9" i="74"/>
  <c r="L47" i="72"/>
  <c r="F37" i="73"/>
  <c r="M28" i="74"/>
  <c r="F9" i="71"/>
  <c r="M10" i="44"/>
  <c r="F8" i="73"/>
  <c r="F38" i="73"/>
  <c r="M24" i="71"/>
  <c r="M8" i="71"/>
  <c r="M9" i="15"/>
  <c r="M29" i="71"/>
  <c r="E2" i="65"/>
  <c r="F26" i="72"/>
  <c r="F38" i="44"/>
  <c r="M24" i="72"/>
  <c r="M27" i="72"/>
  <c r="J15" i="73"/>
  <c r="F42" i="74"/>
  <c r="F28" i="44"/>
  <c r="F37" i="71"/>
  <c r="F36" i="72"/>
  <c r="F6" i="71"/>
  <c r="M8" i="44"/>
  <c r="M29" i="15"/>
  <c r="M8" i="15"/>
  <c r="F38" i="15"/>
  <c r="F8" i="15"/>
  <c r="M26" i="15"/>
  <c r="F37" i="15"/>
  <c r="F42" i="15"/>
  <c r="F40" i="15"/>
  <c r="F36" i="15"/>
  <c r="M23" i="15"/>
  <c r="M22" i="15"/>
  <c r="L48" i="15"/>
  <c r="M6" i="15"/>
  <c r="F7" i="72"/>
  <c r="J15" i="15"/>
  <c r="C6" i="71" l="1"/>
  <c r="C10" i="71"/>
  <c r="F63" i="72"/>
  <c r="F64" i="71"/>
  <c r="C29" i="44"/>
  <c r="C27" i="72"/>
  <c r="B40" i="1"/>
  <c r="F24" i="74" s="1"/>
  <c r="C24" i="74" s="1"/>
  <c r="F65" i="73"/>
  <c r="F50" i="73"/>
  <c r="F64" i="73"/>
  <c r="L59" i="72"/>
  <c r="Q62" i="72" s="1"/>
  <c r="L58" i="72"/>
  <c r="C27" i="71"/>
  <c r="F63" i="74"/>
  <c r="Q72" i="72"/>
  <c r="Q72" i="71"/>
  <c r="C27" i="73"/>
  <c r="F70" i="74"/>
  <c r="Q72" i="15"/>
  <c r="F50" i="71"/>
  <c r="L56" i="73"/>
  <c r="L60" i="73"/>
  <c r="Q67" i="73" s="1"/>
  <c r="J59" i="73"/>
  <c r="L57" i="73"/>
  <c r="L46" i="73"/>
  <c r="J53" i="73"/>
  <c r="F1" i="73" s="1"/>
  <c r="J57" i="73"/>
  <c r="J55" i="73" s="1"/>
  <c r="J58" i="73" s="1"/>
  <c r="Q51" i="73" s="1"/>
  <c r="J60" i="73"/>
  <c r="Q49" i="73" s="1"/>
  <c r="I54" i="73"/>
  <c r="M7" i="73"/>
  <c r="J6" i="73" s="1"/>
  <c r="J5" i="73" s="1"/>
  <c r="F49" i="73"/>
  <c r="F70" i="15"/>
  <c r="L57" i="72"/>
  <c r="L56" i="72"/>
  <c r="J53" i="72"/>
  <c r="Q53" i="72" s="1"/>
  <c r="I54" i="72"/>
  <c r="J59" i="72"/>
  <c r="J57" i="72"/>
  <c r="J55" i="72" s="1"/>
  <c r="J58" i="72" s="1"/>
  <c r="Q51" i="72" s="1"/>
  <c r="J60" i="72"/>
  <c r="Q49" i="72" s="1"/>
  <c r="L60" i="72"/>
  <c r="Q72" i="74"/>
  <c r="C6" i="73"/>
  <c r="C10" i="73"/>
  <c r="F67" i="73"/>
  <c r="F63" i="71"/>
  <c r="F67" i="71"/>
  <c r="F70" i="73"/>
  <c r="L58" i="73"/>
  <c r="Q61" i="73" s="1"/>
  <c r="L59" i="73"/>
  <c r="Q62" i="73" s="1"/>
  <c r="M7" i="71"/>
  <c r="J6" i="71" s="1"/>
  <c r="J5" i="71" s="1"/>
  <c r="F49" i="71"/>
  <c r="C48" i="71" s="1"/>
  <c r="C47" i="71" s="1"/>
  <c r="C59" i="71" s="1"/>
  <c r="F70" i="72"/>
  <c r="M7" i="15"/>
  <c r="J6" i="15" s="1"/>
  <c r="J5" i="15" s="1"/>
  <c r="J18" i="15" s="1"/>
  <c r="F49" i="15"/>
  <c r="L59" i="15"/>
  <c r="Q75" i="15" s="1"/>
  <c r="I55" i="44"/>
  <c r="J60" i="44"/>
  <c r="L57" i="44"/>
  <c r="J54" i="44"/>
  <c r="F1" i="44" s="1"/>
  <c r="J58" i="44"/>
  <c r="J56" i="44" s="1"/>
  <c r="J59" i="44" s="1"/>
  <c r="Q52" i="44" s="1"/>
  <c r="J61" i="44"/>
  <c r="Q50" i="44" s="1"/>
  <c r="F65" i="72"/>
  <c r="F64" i="74"/>
  <c r="M7" i="74"/>
  <c r="J6" i="74" s="1"/>
  <c r="J5" i="74" s="1"/>
  <c r="F49" i="74"/>
  <c r="C6" i="74"/>
  <c r="C5" i="74" s="1"/>
  <c r="C27" i="74"/>
  <c r="F67" i="72"/>
  <c r="Q73" i="44"/>
  <c r="J60" i="74"/>
  <c r="Q49" i="74" s="1"/>
  <c r="J53" i="74"/>
  <c r="F1" i="74" s="1"/>
  <c r="L60" i="74"/>
  <c r="Q58" i="74" s="1"/>
  <c r="J57" i="74"/>
  <c r="J55" i="74" s="1"/>
  <c r="J58" i="74" s="1"/>
  <c r="Q51" i="74" s="1"/>
  <c r="L56" i="74"/>
  <c r="J59" i="74"/>
  <c r="I54" i="74"/>
  <c r="L57" i="74"/>
  <c r="F65" i="74"/>
  <c r="Q72" i="73"/>
  <c r="L60" i="44"/>
  <c r="Q63" i="44" s="1"/>
  <c r="L59" i="44"/>
  <c r="Q75" i="44" s="1"/>
  <c r="F50" i="72"/>
  <c r="C8" i="44"/>
  <c r="C7" i="44" s="1"/>
  <c r="C40" i="44" s="1"/>
  <c r="M9" i="44"/>
  <c r="F65" i="71"/>
  <c r="F63" i="73"/>
  <c r="F50" i="74"/>
  <c r="C48" i="74" s="1"/>
  <c r="C47" i="74" s="1"/>
  <c r="L59" i="74"/>
  <c r="Q75" i="74" s="1"/>
  <c r="L58" i="74"/>
  <c r="Q61" i="74" s="1"/>
  <c r="F67" i="74"/>
  <c r="F64" i="72"/>
  <c r="L59" i="71"/>
  <c r="Q62" i="71" s="1"/>
  <c r="L58" i="71"/>
  <c r="Q61" i="71" s="1"/>
  <c r="C27" i="15"/>
  <c r="F70" i="71"/>
  <c r="J53" i="71"/>
  <c r="J60" i="71"/>
  <c r="Q49" i="71" s="1"/>
  <c r="L60" i="71"/>
  <c r="J57" i="71"/>
  <c r="J55" i="71" s="1"/>
  <c r="J58" i="71" s="1"/>
  <c r="Q51" i="71" s="1"/>
  <c r="L57" i="71"/>
  <c r="I54" i="71"/>
  <c r="L56" i="71"/>
  <c r="J59" i="71"/>
  <c r="C15" i="12"/>
  <c r="F107" i="46"/>
  <c r="F106" i="46"/>
  <c r="F103" i="46"/>
  <c r="C105" i="46"/>
  <c r="C107" i="46"/>
  <c r="K104" i="46"/>
  <c r="J109" i="46"/>
  <c r="J105" i="46"/>
  <c r="J107" i="46"/>
  <c r="K105" i="46"/>
  <c r="J103" i="46"/>
  <c r="K107" i="46"/>
  <c r="G16" i="1"/>
  <c r="J12" i="40" s="1"/>
  <c r="W12" i="40" s="1"/>
  <c r="AP16" i="1"/>
  <c r="F22" i="11" s="1"/>
  <c r="L46" i="72"/>
  <c r="Q67" i="74"/>
  <c r="Q58" i="73"/>
  <c r="AC7" i="75"/>
  <c r="W7" i="75"/>
  <c r="AA7" i="75"/>
  <c r="S7" i="75"/>
  <c r="U7" i="75"/>
  <c r="AB7" i="75"/>
  <c r="Q74" i="73"/>
  <c r="Q62" i="74"/>
  <c r="L46" i="74"/>
  <c r="Q53" i="73"/>
  <c r="C38" i="74"/>
  <c r="C32" i="74"/>
  <c r="M7" i="72"/>
  <c r="J6" i="72" s="1"/>
  <c r="J5" i="72" s="1"/>
  <c r="F49" i="72"/>
  <c r="C48" i="72" s="1"/>
  <c r="C47" i="72" s="1"/>
  <c r="C6" i="72"/>
  <c r="C10" i="72"/>
  <c r="O10" i="1"/>
  <c r="P10" i="1" s="1"/>
  <c r="J26" i="73"/>
  <c r="J18" i="73"/>
  <c r="J24" i="73"/>
  <c r="J26" i="71"/>
  <c r="J18" i="71"/>
  <c r="J24" i="71"/>
  <c r="Q58" i="72"/>
  <c r="Q67" i="72"/>
  <c r="Q58" i="71"/>
  <c r="Q67" i="71"/>
  <c r="Q53" i="71"/>
  <c r="F1" i="71"/>
  <c r="Q61" i="72"/>
  <c r="Q74" i="72"/>
  <c r="F26" i="44"/>
  <c r="C26" i="44" s="1"/>
  <c r="F30" i="6"/>
  <c r="C15" i="69"/>
  <c r="F26" i="12"/>
  <c r="C27" i="12" s="1"/>
  <c r="D26" i="12" s="1"/>
  <c r="F18" i="11"/>
  <c r="C18" i="11" s="1"/>
  <c r="C19" i="11" s="1"/>
  <c r="C20" i="11" s="1"/>
  <c r="C21" i="11" s="1"/>
  <c r="F33" i="69"/>
  <c r="C34" i="69" s="1"/>
  <c r="D33" i="69" s="1"/>
  <c r="F65" i="15"/>
  <c r="F63" i="15"/>
  <c r="C10" i="15"/>
  <c r="F50" i="15"/>
  <c r="C48" i="15" s="1"/>
  <c r="C6" i="15"/>
  <c r="I54" i="15"/>
  <c r="L56" i="15"/>
  <c r="L58" i="15"/>
  <c r="Q74" i="15" s="1"/>
  <c r="J53" i="15"/>
  <c r="F1" i="15" s="1"/>
  <c r="J57" i="15"/>
  <c r="J55" i="15" s="1"/>
  <c r="J58" i="15" s="1"/>
  <c r="Q51" i="15" s="1"/>
  <c r="F64" i="15"/>
  <c r="F67" i="15"/>
  <c r="I116" i="46"/>
  <c r="J116" i="46" s="1"/>
  <c r="K116" i="46" s="1"/>
  <c r="L116" i="46" s="1"/>
  <c r="M116" i="46" s="1"/>
  <c r="K102" i="46"/>
  <c r="K103" i="46"/>
  <c r="K106" i="46"/>
  <c r="F105" i="46"/>
  <c r="F104" i="46"/>
  <c r="F102" i="46"/>
  <c r="C109" i="46"/>
  <c r="C102" i="46"/>
  <c r="C103" i="46"/>
  <c r="J102" i="46"/>
  <c r="J106" i="46"/>
  <c r="H7" i="37"/>
  <c r="Q62" i="44"/>
  <c r="Q76" i="44"/>
  <c r="J7" i="37"/>
  <c r="F7" i="37"/>
  <c r="AA7" i="37" s="1"/>
  <c r="R42" i="37" s="1"/>
  <c r="E42" i="37"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8" i="44"/>
  <c r="J7" i="44" s="1"/>
  <c r="E48" i="33"/>
  <c r="E52" i="33" s="1"/>
  <c r="F52" i="33" s="1"/>
  <c r="C115" i="46"/>
  <c r="H12" i="40"/>
  <c r="AB12" i="40" s="1"/>
  <c r="AG6" i="1"/>
  <c r="F31" i="6"/>
  <c r="AC6" i="3"/>
  <c r="D21" i="12"/>
  <c r="C21" i="12" s="1"/>
  <c r="D12" i="11"/>
  <c r="C12" i="11" s="1"/>
  <c r="E59" i="40"/>
  <c r="E29" i="6"/>
  <c r="L19" i="6" s="1"/>
  <c r="E58" i="40"/>
  <c r="E63" i="39"/>
  <c r="E16" i="6"/>
  <c r="AZ5" i="3"/>
  <c r="F33" i="12"/>
  <c r="C34" i="12" s="1"/>
  <c r="F24" i="43"/>
  <c r="E60" i="40"/>
  <c r="E65" i="39"/>
  <c r="K19" i="6"/>
  <c r="K26" i="6"/>
  <c r="M26" i="6" s="1"/>
  <c r="I26" i="6" s="1"/>
  <c r="S26" i="6" s="1"/>
  <c r="K24" i="6"/>
  <c r="K22" i="6"/>
  <c r="K20" i="6"/>
  <c r="K23" i="6"/>
  <c r="K25" i="6"/>
  <c r="K21" i="6"/>
  <c r="K14"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I53" i="34"/>
  <c r="J53" i="34" s="1"/>
  <c r="Q62" i="15"/>
  <c r="E46" i="37"/>
  <c r="F46" i="37" s="1"/>
  <c r="C48" i="33"/>
  <c r="C49" i="33"/>
  <c r="B3" i="33" s="1"/>
  <c r="B2" i="33" s="1"/>
  <c r="AE7" i="1"/>
  <c r="C16" i="15"/>
  <c r="C16" i="74"/>
  <c r="C18" i="44"/>
  <c r="C16" i="73"/>
  <c r="F7" i="67"/>
  <c r="AE9" i="1"/>
  <c r="L52" i="44"/>
  <c r="F41" i="73"/>
  <c r="AE8" i="1"/>
  <c r="AE11" i="1"/>
  <c r="F46" i="44" s="1"/>
  <c r="AE12" i="1"/>
  <c r="F41" i="74" s="1"/>
  <c r="C16" i="71"/>
  <c r="C16" i="72"/>
  <c r="C5" i="73" l="1"/>
  <c r="C32" i="73" s="1"/>
  <c r="F26" i="69"/>
  <c r="C27" i="69" s="1"/>
  <c r="D26" i="69" s="1"/>
  <c r="C32" i="69" s="1"/>
  <c r="D30" i="69" s="1"/>
  <c r="F1" i="72"/>
  <c r="Q75" i="71"/>
  <c r="Q54" i="44"/>
  <c r="F24" i="15"/>
  <c r="C24" i="15" s="1"/>
  <c r="F24" i="73"/>
  <c r="C24" i="73" s="1"/>
  <c r="Q74" i="71"/>
  <c r="Q75" i="73"/>
  <c r="C65" i="74"/>
  <c r="C48" i="73"/>
  <c r="C47" i="73" s="1"/>
  <c r="C59" i="73" s="1"/>
  <c r="C5" i="71"/>
  <c r="C32" i="71" s="1"/>
  <c r="F21" i="43"/>
  <c r="C23" i="43" s="1"/>
  <c r="D21" i="43" s="1"/>
  <c r="F24" i="71"/>
  <c r="C24" i="71" s="1"/>
  <c r="F24" i="72"/>
  <c r="Q74" i="74"/>
  <c r="L46" i="71"/>
  <c r="Q75" i="72"/>
  <c r="Q53" i="74"/>
  <c r="J26" i="74"/>
  <c r="J24" i="74"/>
  <c r="J18" i="74"/>
  <c r="AC12" i="40"/>
  <c r="E30" i="6"/>
  <c r="E31" i="6" s="1"/>
  <c r="F12" i="40"/>
  <c r="AA12" i="40" s="1"/>
  <c r="F12" i="39"/>
  <c r="AA12" i="39" s="1"/>
  <c r="J12" i="39"/>
  <c r="AC12" i="39" s="1"/>
  <c r="H12" i="39"/>
  <c r="U12" i="39" s="1"/>
  <c r="C22" i="11"/>
  <c r="C23" i="11" s="1"/>
  <c r="B2" i="11" s="1"/>
  <c r="C65" i="71"/>
  <c r="C59" i="74"/>
  <c r="K15" i="1"/>
  <c r="K16" i="1" s="1"/>
  <c r="C65" i="73"/>
  <c r="C38" i="73"/>
  <c r="C5" i="72"/>
  <c r="C59" i="72"/>
  <c r="C65" i="72"/>
  <c r="J24" i="72"/>
  <c r="J26" i="72"/>
  <c r="J18" i="72"/>
  <c r="F68" i="74"/>
  <c r="J29" i="74"/>
  <c r="F68" i="73"/>
  <c r="J29" i="73"/>
  <c r="C24" i="72"/>
  <c r="M25" i="6"/>
  <c r="I25" i="6" s="1"/>
  <c r="S25" i="6" s="1"/>
  <c r="S12" i="1"/>
  <c r="M24" i="6"/>
  <c r="I24" i="6" s="1"/>
  <c r="S24" i="6" s="1"/>
  <c r="S11" i="1"/>
  <c r="M23" i="6"/>
  <c r="I23" i="6" s="1"/>
  <c r="S23" i="6" s="1"/>
  <c r="S10" i="1"/>
  <c r="C5" i="15"/>
  <c r="C38" i="15" s="1"/>
  <c r="Q53" i="15"/>
  <c r="Q61" i="15"/>
  <c r="L20" i="6"/>
  <c r="L22" i="6"/>
  <c r="M22" i="6" s="1"/>
  <c r="I22" i="6" s="1"/>
  <c r="S22" i="6" s="1"/>
  <c r="S5" i="46"/>
  <c r="T5" i="46" s="1"/>
  <c r="V5" i="46" s="1"/>
  <c r="S2" i="46"/>
  <c r="T2" i="46" s="1"/>
  <c r="V2" i="46" s="1"/>
  <c r="S3" i="46"/>
  <c r="T3" i="46" s="1"/>
  <c r="V3" i="46" s="1"/>
  <c r="S6" i="46"/>
  <c r="T6" i="46" s="1"/>
  <c r="V6" i="46" s="1"/>
  <c r="S7" i="46"/>
  <c r="T7" i="46" s="1"/>
  <c r="V7" i="46" s="1"/>
  <c r="S4" i="46"/>
  <c r="T4" i="46" s="1"/>
  <c r="V4" i="46" s="1"/>
  <c r="C34" i="44"/>
  <c r="U7" i="37"/>
  <c r="AB7" i="37"/>
  <c r="T42" i="37" s="1"/>
  <c r="G42" i="37" s="1"/>
  <c r="E6" i="3"/>
  <c r="Q69" i="44"/>
  <c r="L58" i="44"/>
  <c r="L61" i="44" s="1"/>
  <c r="D113" i="46"/>
  <c r="J22" i="46" s="1"/>
  <c r="U12" i="40"/>
  <c r="E4" i="67"/>
  <c r="E41" i="36"/>
  <c r="F41" i="36" s="1"/>
  <c r="I47" i="37"/>
  <c r="J47" i="37" s="1"/>
  <c r="G47" i="37"/>
  <c r="H47" i="37" s="1"/>
  <c r="E53" i="33"/>
  <c r="F53" i="33" s="1"/>
  <c r="I53" i="33"/>
  <c r="J53" i="33" s="1"/>
  <c r="E38" i="35"/>
  <c r="I43" i="35" s="1"/>
  <c r="J43" i="35" s="1"/>
  <c r="I41" i="36"/>
  <c r="J41" i="36" s="1"/>
  <c r="R37" i="36"/>
  <c r="C26" i="46"/>
  <c r="C26" i="43"/>
  <c r="D24" i="43" s="1"/>
  <c r="C32" i="12"/>
  <c r="D30" i="12" s="1"/>
  <c r="D33" i="12"/>
  <c r="M14" i="1"/>
  <c r="S7" i="1"/>
  <c r="K27" i="6"/>
  <c r="M19" i="6"/>
  <c r="S6" i="1"/>
  <c r="M21" i="6"/>
  <c r="I21" i="6" s="1"/>
  <c r="S21" i="6" s="1"/>
  <c r="S8" i="1"/>
  <c r="S9" i="1"/>
  <c r="E3" i="6"/>
  <c r="AY6" i="3"/>
  <c r="R43" i="37"/>
  <c r="C27" i="46"/>
  <c r="R50" i="34"/>
  <c r="C50" i="34" s="1"/>
  <c r="B3" i="34" s="1"/>
  <c r="B2" i="34" s="1"/>
  <c r="E49" i="34"/>
  <c r="C39" i="35"/>
  <c r="B3" i="35" s="1"/>
  <c r="B2" i="35" s="1"/>
  <c r="AC7" i="21"/>
  <c r="W7" i="21"/>
  <c r="U7" i="21"/>
  <c r="AB7" i="21"/>
  <c r="S7" i="21"/>
  <c r="AA7" i="21"/>
  <c r="F72" i="39"/>
  <c r="G70" i="39"/>
  <c r="F67" i="40"/>
  <c r="G65" i="40"/>
  <c r="J24" i="15"/>
  <c r="J20" i="44"/>
  <c r="J26" i="44"/>
  <c r="AE10" i="1"/>
  <c r="F41" i="72"/>
  <c r="C17" i="74"/>
  <c r="C17" i="73"/>
  <c r="C17" i="15"/>
  <c r="F41" i="15"/>
  <c r="F41" i="71"/>
  <c r="C17" i="72"/>
  <c r="C17" i="71"/>
  <c r="E7" i="67"/>
  <c r="C19" i="44"/>
  <c r="C38" i="71" l="1"/>
  <c r="B3" i="11"/>
  <c r="S12" i="40"/>
  <c r="S12" i="39"/>
  <c r="W12" i="39"/>
  <c r="AB12" i="39"/>
  <c r="D16" i="69"/>
  <c r="D19" i="69" s="1"/>
  <c r="C19" i="69" s="1"/>
  <c r="C33" i="75"/>
  <c r="C38" i="72"/>
  <c r="C32" i="72"/>
  <c r="J29" i="72"/>
  <c r="F68" i="72"/>
  <c r="J29" i="71"/>
  <c r="F68" i="71"/>
  <c r="L27" i="6"/>
  <c r="M20" i="6"/>
  <c r="I20" i="6" s="1"/>
  <c r="S20" i="6" s="1"/>
  <c r="C32" i="15"/>
  <c r="F68" i="15"/>
  <c r="B14" i="66"/>
  <c r="B1" i="66" s="1"/>
  <c r="C33" i="21"/>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I19" i="6"/>
  <c r="D16" i="43"/>
  <c r="C16" i="43" s="1"/>
  <c r="D16" i="12"/>
  <c r="C21" i="4"/>
  <c r="O5" i="54" s="1"/>
  <c r="B45" i="63" s="1"/>
  <c r="E6" i="6"/>
  <c r="D22" i="69" s="1"/>
  <c r="C22" i="69" s="1"/>
  <c r="C20" i="69" s="1"/>
  <c r="D10" i="11"/>
  <c r="L38" i="9"/>
  <c r="O14" i="1"/>
  <c r="M16" i="1"/>
  <c r="C43" i="37"/>
  <c r="B3" i="37" s="1"/>
  <c r="B2" i="37" s="1"/>
  <c r="C42" i="37"/>
  <c r="C49" i="34"/>
  <c r="E54" i="34"/>
  <c r="F54" i="34" s="1"/>
  <c r="I54" i="34"/>
  <c r="J54" i="34" s="1"/>
  <c r="E53" i="34"/>
  <c r="F53" i="34" s="1"/>
  <c r="G67" i="40"/>
  <c r="H65" i="40"/>
  <c r="G72" i="39"/>
  <c r="H70" i="39"/>
  <c r="B7" i="67"/>
  <c r="T7" i="1" l="1"/>
  <c r="M27" i="6"/>
  <c r="C16" i="69"/>
  <c r="J33" i="75"/>
  <c r="F33" i="75"/>
  <c r="H33" i="75"/>
  <c r="J33" i="21"/>
  <c r="F33" i="21"/>
  <c r="H33" i="21"/>
  <c r="C14" i="66"/>
  <c r="B2" i="66" s="1"/>
  <c r="E68" i="39"/>
  <c r="E63" i="40"/>
  <c r="B2" i="67"/>
  <c r="B4" i="46"/>
  <c r="B3" i="46"/>
  <c r="T10" i="1"/>
  <c r="T9" i="1"/>
  <c r="T6" i="1"/>
  <c r="T11" i="1"/>
  <c r="T8" i="1"/>
  <c r="T12" i="1"/>
  <c r="O16" i="1"/>
  <c r="P14" i="1"/>
  <c r="P16" i="1"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M21" i="71"/>
  <c r="C14" i="15"/>
  <c r="C14" i="72"/>
  <c r="C14" i="73"/>
  <c r="C14" i="74"/>
  <c r="F35" i="71"/>
  <c r="C16" i="44"/>
  <c r="C14" i="71"/>
  <c r="J20" i="71" l="1"/>
  <c r="F62" i="71"/>
  <c r="C61" i="71" s="1"/>
  <c r="C34" i="71"/>
  <c r="C18" i="74"/>
  <c r="C15" i="74"/>
  <c r="C15" i="73"/>
  <c r="C18" i="73"/>
  <c r="C18" i="71"/>
  <c r="C15" i="71"/>
  <c r="C18" i="72"/>
  <c r="C15" i="72"/>
  <c r="AA33" i="75"/>
  <c r="S33" i="75"/>
  <c r="AB33" i="75"/>
  <c r="U33" i="75"/>
  <c r="AC33" i="75"/>
  <c r="W33" i="75"/>
  <c r="C13" i="12"/>
  <c r="C17" i="12" s="1"/>
  <c r="C13" i="69"/>
  <c r="S33" i="21"/>
  <c r="AA33" i="21"/>
  <c r="U33" i="21"/>
  <c r="AB33" i="21"/>
  <c r="W33" i="21"/>
  <c r="AC33" i="21"/>
  <c r="C18" i="15"/>
  <c r="C15" i="15"/>
  <c r="C20" i="44"/>
  <c r="C17" i="44"/>
  <c r="B3" i="67"/>
  <c r="B4" i="67"/>
  <c r="T16" i="1"/>
  <c r="H27" i="6"/>
  <c r="R20" i="6"/>
  <c r="R7" i="1" s="1"/>
  <c r="R24" i="6"/>
  <c r="R11" i="1" s="1"/>
  <c r="D16" i="6"/>
  <c r="D30" i="6"/>
  <c r="R23" i="6"/>
  <c r="R10" i="1" s="1"/>
  <c r="R25" i="6"/>
  <c r="R12" i="1" s="1"/>
  <c r="R21" i="6"/>
  <c r="R8" i="1" s="1"/>
  <c r="R19" i="6"/>
  <c r="R6" i="1" s="1"/>
  <c r="D27" i="6"/>
  <c r="A6" i="51"/>
  <c r="B7" i="63" s="1"/>
  <c r="A20" i="64"/>
  <c r="A6" i="64"/>
  <c r="A20" i="51"/>
  <c r="B15" i="63" s="1"/>
  <c r="N5" i="54"/>
  <c r="B43" i="63" s="1"/>
  <c r="R26" i="6"/>
  <c r="C17" i="43"/>
  <c r="C14" i="43"/>
  <c r="J65" i="40"/>
  <c r="I67" i="40"/>
  <c r="J70" i="39"/>
  <c r="I72" i="39"/>
  <c r="C47" i="15"/>
  <c r="F35" i="74"/>
  <c r="F37" i="44"/>
  <c r="M23" i="44"/>
  <c r="M21" i="72"/>
  <c r="M21" i="15"/>
  <c r="F35" i="15"/>
  <c r="M21" i="73"/>
  <c r="M21" i="74"/>
  <c r="F35" i="72"/>
  <c r="F35" i="73"/>
  <c r="C19" i="72" l="1"/>
  <c r="C20" i="72" s="1"/>
  <c r="C26" i="72" s="1"/>
  <c r="C19" i="73"/>
  <c r="C20" i="73" s="1"/>
  <c r="C26" i="73" s="1"/>
  <c r="C19" i="74"/>
  <c r="C20" i="74" s="1"/>
  <c r="C26" i="74" s="1"/>
  <c r="C19" i="71"/>
  <c r="C20" i="71" s="1"/>
  <c r="C26" i="71" s="1"/>
  <c r="J20" i="74"/>
  <c r="F62" i="74"/>
  <c r="C61" i="74" s="1"/>
  <c r="C34" i="74"/>
  <c r="F62" i="73"/>
  <c r="C61" i="73" s="1"/>
  <c r="C34" i="73"/>
  <c r="J20" i="73"/>
  <c r="J20" i="72"/>
  <c r="F62" i="72"/>
  <c r="C61" i="72" s="1"/>
  <c r="C34" i="72"/>
  <c r="C14" i="12"/>
  <c r="C18" i="12" s="1"/>
  <c r="C14" i="69"/>
  <c r="C17" i="69"/>
  <c r="C21" i="44"/>
  <c r="C22" i="44" s="1"/>
  <c r="C25" i="44" s="1"/>
  <c r="C19" i="15"/>
  <c r="C20" i="15" s="1"/>
  <c r="C23" i="15" s="1"/>
  <c r="J20" i="15"/>
  <c r="C36" i="44"/>
  <c r="C34" i="15"/>
  <c r="F62" i="15"/>
  <c r="C61" i="15" s="1"/>
  <c r="J22" i="44"/>
  <c r="R16" i="1"/>
  <c r="D31" i="6"/>
  <c r="I6" i="6" s="1"/>
  <c r="I7" i="6" s="1"/>
  <c r="R27" i="6"/>
  <c r="C18" i="43"/>
  <c r="K70" i="39"/>
  <c r="J72" i="39"/>
  <c r="K65" i="40"/>
  <c r="J67" i="40"/>
  <c r="C65" i="15"/>
  <c r="C59" i="15"/>
  <c r="C23" i="74" l="1"/>
  <c r="C29" i="74" s="1"/>
  <c r="J19" i="74" s="1"/>
  <c r="J17" i="74" s="1"/>
  <c r="C23" i="72"/>
  <c r="C29" i="72" s="1"/>
  <c r="J14" i="72" s="1"/>
  <c r="C23" i="73"/>
  <c r="C29" i="73" s="1"/>
  <c r="C23" i="71"/>
  <c r="C29" i="71" s="1"/>
  <c r="C18" i="69"/>
  <c r="C23" i="69" s="1"/>
  <c r="C28" i="44"/>
  <c r="C31" i="44" s="1"/>
  <c r="C35" i="44" s="1"/>
  <c r="I5" i="6"/>
  <c r="C13" i="39" s="1"/>
  <c r="C11" i="75" s="1"/>
  <c r="C26" i="15"/>
  <c r="C29" i="15" s="1"/>
  <c r="J59" i="15" s="1"/>
  <c r="J60" i="15" s="1"/>
  <c r="Q49" i="15" s="1"/>
  <c r="C23" i="12"/>
  <c r="C19" i="43"/>
  <c r="C22" i="43" s="1"/>
  <c r="C21" i="43" s="1"/>
  <c r="K67" i="40"/>
  <c r="L65" i="40"/>
  <c r="K72" i="39"/>
  <c r="L70" i="39"/>
  <c r="C56" i="72" l="1"/>
  <c r="C63" i="72" s="1"/>
  <c r="C13" i="72"/>
  <c r="Q71" i="72" s="1"/>
  <c r="Q50" i="72"/>
  <c r="Q50" i="74"/>
  <c r="J14" i="74"/>
  <c r="J22" i="74" s="1"/>
  <c r="C33" i="74"/>
  <c r="C31" i="74" s="1"/>
  <c r="C13" i="74"/>
  <c r="C37" i="74" s="1"/>
  <c r="C36" i="74"/>
  <c r="C56" i="74"/>
  <c r="C63" i="74" s="1"/>
  <c r="C36" i="72"/>
  <c r="J19" i="72"/>
  <c r="J17" i="72" s="1"/>
  <c r="C33" i="72"/>
  <c r="C31" i="72" s="1"/>
  <c r="H11" i="75"/>
  <c r="F11" i="75"/>
  <c r="J11" i="75"/>
  <c r="J19" i="71"/>
  <c r="J17" i="71" s="1"/>
  <c r="J14" i="71"/>
  <c r="C33" i="71"/>
  <c r="C31" i="71" s="1"/>
  <c r="C13" i="71"/>
  <c r="C36" i="71"/>
  <c r="C56" i="71"/>
  <c r="Q50" i="71"/>
  <c r="J14" i="73"/>
  <c r="C13" i="73"/>
  <c r="C33" i="73"/>
  <c r="C31" i="73" s="1"/>
  <c r="J19" i="73"/>
  <c r="J17" i="73" s="1"/>
  <c r="Q50" i="73"/>
  <c r="C36" i="73"/>
  <c r="C56" i="73"/>
  <c r="J13" i="72"/>
  <c r="J23" i="72" s="1"/>
  <c r="J22" i="72"/>
  <c r="C11" i="21"/>
  <c r="F13" i="39"/>
  <c r="H13" i="39"/>
  <c r="J13" i="39"/>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C37" i="72" l="1"/>
  <c r="C30" i="72" s="1"/>
  <c r="C39" i="72" s="1"/>
  <c r="J35" i="72"/>
  <c r="C55" i="72"/>
  <c r="C64" i="72" s="1"/>
  <c r="C60" i="72"/>
  <c r="C58" i="72" s="1"/>
  <c r="J13" i="74"/>
  <c r="J23" i="74" s="1"/>
  <c r="J16" i="74" s="1"/>
  <c r="J25" i="74" s="1"/>
  <c r="J35" i="74"/>
  <c r="C60" i="74"/>
  <c r="C58" i="74" s="1"/>
  <c r="C55" i="74"/>
  <c r="C64" i="74" s="1"/>
  <c r="C30" i="74"/>
  <c r="C39" i="74" s="1"/>
  <c r="Q71" i="74"/>
  <c r="J16" i="72"/>
  <c r="J25" i="72" s="1"/>
  <c r="Q71" i="73"/>
  <c r="J35" i="73"/>
  <c r="C37" i="73"/>
  <c r="C30" i="73" s="1"/>
  <c r="C39" i="73" s="1"/>
  <c r="C55" i="73"/>
  <c r="C64" i="73" s="1"/>
  <c r="S11" i="75"/>
  <c r="AA11" i="75"/>
  <c r="R48" i="75" s="1"/>
  <c r="C60" i="73"/>
  <c r="C58" i="73" s="1"/>
  <c r="C63" i="73"/>
  <c r="J13" i="73"/>
  <c r="J23" i="73" s="1"/>
  <c r="J22" i="73"/>
  <c r="C63" i="71"/>
  <c r="C60" i="71"/>
  <c r="C58" i="71" s="1"/>
  <c r="Q71" i="71"/>
  <c r="C55" i="71"/>
  <c r="C64" i="71" s="1"/>
  <c r="C37" i="71"/>
  <c r="C30" i="71" s="1"/>
  <c r="C39" i="71" s="1"/>
  <c r="J35" i="71"/>
  <c r="J22" i="71"/>
  <c r="J13" i="71"/>
  <c r="J23" i="71" s="1"/>
  <c r="AC11" i="75"/>
  <c r="V48" i="75" s="1"/>
  <c r="I48" i="75" s="1"/>
  <c r="W11" i="75"/>
  <c r="U11" i="75"/>
  <c r="AB11" i="75"/>
  <c r="T48" i="75" s="1"/>
  <c r="G48" i="75" s="1"/>
  <c r="AC13" i="39"/>
  <c r="W13" i="39"/>
  <c r="S13" i="39"/>
  <c r="AA13" i="39"/>
  <c r="AB13" i="39"/>
  <c r="U13" i="39"/>
  <c r="H11" i="21"/>
  <c r="F11" i="21"/>
  <c r="J11" i="2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4"/>
  <c r="L51" i="73"/>
  <c r="L51" i="71"/>
  <c r="Q70" i="72" l="1"/>
  <c r="Q69" i="72" s="1"/>
  <c r="C57" i="72"/>
  <c r="C66" i="72" s="1"/>
  <c r="C67" i="72" s="1"/>
  <c r="C70" i="72" s="1"/>
  <c r="J39" i="72"/>
  <c r="J40" i="72" s="1"/>
  <c r="C40" i="72"/>
  <c r="Q66" i="72" s="1"/>
  <c r="Q76" i="72" s="1"/>
  <c r="J39" i="74"/>
  <c r="J40" i="74" s="1"/>
  <c r="C57" i="74"/>
  <c r="C66" i="74" s="1"/>
  <c r="C67" i="74" s="1"/>
  <c r="C70" i="74" s="1"/>
  <c r="C40" i="74"/>
  <c r="D44" i="74" s="1"/>
  <c r="J16" i="71"/>
  <c r="J25" i="71" s="1"/>
  <c r="Q70" i="74"/>
  <c r="Q69" i="74" s="1"/>
  <c r="Q68" i="74"/>
  <c r="J16" i="73"/>
  <c r="J25" i="73" s="1"/>
  <c r="J39" i="73"/>
  <c r="J40" i="73" s="1"/>
  <c r="Q68" i="71"/>
  <c r="Q68" i="73"/>
  <c r="G52" i="75"/>
  <c r="H52" i="75" s="1"/>
  <c r="G53" i="75"/>
  <c r="H53" i="75" s="1"/>
  <c r="C40" i="71"/>
  <c r="Q70" i="71"/>
  <c r="Q69" i="71" s="1"/>
  <c r="I52" i="75"/>
  <c r="J52" i="75" s="1"/>
  <c r="J39" i="71"/>
  <c r="J40" i="71" s="1"/>
  <c r="C57" i="71"/>
  <c r="C66" i="71" s="1"/>
  <c r="C67" i="71" s="1"/>
  <c r="Q70" i="73"/>
  <c r="Q69" i="73" s="1"/>
  <c r="C40" i="73"/>
  <c r="C57" i="73"/>
  <c r="C66" i="73" s="1"/>
  <c r="C67" i="73" s="1"/>
  <c r="E48" i="75"/>
  <c r="I53" i="75" s="1"/>
  <c r="J53" i="75" s="1"/>
  <c r="R49" i="75"/>
  <c r="S11" i="21"/>
  <c r="AA11" i="21"/>
  <c r="R48" i="21" s="1"/>
  <c r="W11" i="21"/>
  <c r="AC11" i="21"/>
  <c r="V48" i="21" s="1"/>
  <c r="I48" i="21" s="1"/>
  <c r="U11" i="21"/>
  <c r="AB11" i="21"/>
  <c r="T48" i="21" s="1"/>
  <c r="G48" i="21"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L51" i="72"/>
  <c r="C46" i="72" l="1"/>
  <c r="Q68" i="72"/>
  <c r="Q66" i="74"/>
  <c r="Q76" i="74" s="1"/>
  <c r="B2" i="72"/>
  <c r="G10" i="12" s="1"/>
  <c r="C46" i="74"/>
  <c r="Q57" i="72"/>
  <c r="Q63" i="72" s="1"/>
  <c r="Q48" i="72"/>
  <c r="Q54" i="72" s="1"/>
  <c r="B2" i="74"/>
  <c r="B3" i="74" s="1"/>
  <c r="Q57" i="74"/>
  <c r="Q63" i="74" s="1"/>
  <c r="J42" i="72"/>
  <c r="J43" i="72" s="1"/>
  <c r="C43" i="72"/>
  <c r="J42" i="74"/>
  <c r="J43" i="74" s="1"/>
  <c r="Q48" i="74"/>
  <c r="Q54" i="74" s="1"/>
  <c r="C43" i="74"/>
  <c r="C70" i="71"/>
  <c r="C46" i="71"/>
  <c r="C49" i="75"/>
  <c r="B3" i="75" s="1"/>
  <c r="C48" i="75"/>
  <c r="C70" i="73"/>
  <c r="C46" i="73"/>
  <c r="E53" i="75"/>
  <c r="F53" i="75" s="1"/>
  <c r="E52" i="75"/>
  <c r="F52" i="75" s="1"/>
  <c r="C43" i="73"/>
  <c r="Q66" i="73"/>
  <c r="Q76" i="73" s="1"/>
  <c r="Q48" i="73"/>
  <c r="Q54" i="73" s="1"/>
  <c r="B2" i="73"/>
  <c r="Q57" i="73"/>
  <c r="Q63" i="73" s="1"/>
  <c r="J42" i="73"/>
  <c r="J43" i="73" s="1"/>
  <c r="Q48" i="71"/>
  <c r="Q54" i="71" s="1"/>
  <c r="Q57" i="71"/>
  <c r="Q63" i="71" s="1"/>
  <c r="C43" i="71"/>
  <c r="Q66" i="71"/>
  <c r="Q76" i="71" s="1"/>
  <c r="B2" i="71"/>
  <c r="J42" i="71"/>
  <c r="J43" i="71" s="1"/>
  <c r="G53" i="21"/>
  <c r="H53" i="21" s="1"/>
  <c r="G52" i="21"/>
  <c r="H52" i="21" s="1"/>
  <c r="I52" i="21"/>
  <c r="J52" i="21" s="1"/>
  <c r="R49" i="21"/>
  <c r="E48" i="2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3" i="72" l="1"/>
  <c r="I10" i="12"/>
  <c r="B3" i="73"/>
  <c r="B3" i="71"/>
  <c r="F10" i="12"/>
  <c r="B2" i="75"/>
  <c r="D8" i="12"/>
  <c r="D10" i="12" s="1"/>
  <c r="E52" i="21"/>
  <c r="F52" i="21" s="1"/>
  <c r="E53" i="21"/>
  <c r="F53" i="21" s="1"/>
  <c r="I53" i="21"/>
  <c r="J53" i="21" s="1"/>
  <c r="C49" i="21"/>
  <c r="B3" i="21" s="1"/>
  <c r="C8" i="12" s="1"/>
  <c r="C48" i="2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B2" i="21" l="1"/>
  <c r="C10" i="12"/>
  <c r="L46" i="15"/>
  <c r="B2" i="15" s="1"/>
  <c r="Q76" i="15"/>
  <c r="Q58" i="15"/>
  <c r="Q63" i="15" s="1"/>
  <c r="E54" i="39"/>
  <c r="F54" i="39" s="1"/>
  <c r="E53" i="39"/>
  <c r="F53" i="39" s="1"/>
  <c r="E48" i="40"/>
  <c r="F48" i="40" s="1"/>
  <c r="E49" i="40"/>
  <c r="F49" i="40" s="1"/>
  <c r="C50" i="39"/>
  <c r="C49" i="39"/>
  <c r="I54" i="39"/>
  <c r="J54" i="39" s="1"/>
  <c r="C45" i="40"/>
  <c r="C44" i="40"/>
  <c r="I49" i="40"/>
  <c r="J49" i="40" s="1"/>
  <c r="C6" i="69" l="1"/>
  <c r="C24" i="69" s="1"/>
  <c r="E10" i="12"/>
  <c r="C6" i="12" s="1"/>
  <c r="C29" i="69"/>
  <c r="B3" i="15"/>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35" i="69" l="1"/>
  <c r="C33" i="69" s="1"/>
  <c r="C28" i="69"/>
  <c r="C26" i="69" s="1"/>
  <c r="C31" i="69" s="1"/>
  <c r="C30" i="69" s="1"/>
  <c r="C29" i="12"/>
  <c r="C24" i="12"/>
  <c r="F68" i="39"/>
  <c r="B2" i="39" s="1"/>
  <c r="F63" i="40"/>
  <c r="B2" i="40" s="1"/>
  <c r="C19" i="9"/>
  <c r="C36" i="69" l="1"/>
  <c r="B2" i="69" s="1"/>
  <c r="B5" i="69" s="1"/>
  <c r="C35" i="12"/>
  <c r="C33" i="12" s="1"/>
  <c r="C28" i="12"/>
  <c r="C26" i="12" s="1"/>
  <c r="C31" i="12" s="1"/>
  <c r="C30" i="12" s="1"/>
  <c r="L43" i="9"/>
  <c r="B3" i="40"/>
  <c r="B4" i="40"/>
  <c r="B5" i="40"/>
  <c r="B3" i="39"/>
  <c r="B4" i="39"/>
  <c r="B5" i="39"/>
  <c r="C21" i="9"/>
  <c r="C20" i="9"/>
  <c r="B3" i="69" l="1"/>
  <c r="B4" i="69"/>
  <c r="C36" i="12"/>
  <c r="B2" i="12" s="1"/>
  <c r="C45" i="9"/>
  <c r="H14" i="66" s="1"/>
  <c r="B7" i="66" s="1"/>
  <c r="D19" i="9"/>
  <c r="L44" i="9" l="1"/>
  <c r="G19" i="9"/>
  <c r="M23" i="76" s="1"/>
  <c r="D22" i="9"/>
  <c r="B4" i="12"/>
  <c r="B5" i="12"/>
  <c r="B3" i="12"/>
  <c r="D7" i="66"/>
  <c r="C7" i="66"/>
  <c r="D21" i="9"/>
  <c r="D20" i="9"/>
  <c r="N24" i="76" l="1"/>
  <c r="E23" i="76"/>
  <c r="J23" i="76" s="1"/>
  <c r="G20" i="9"/>
  <c r="G21" i="9"/>
  <c r="C32" i="9"/>
  <c r="G22" i="9"/>
  <c r="N43" i="9"/>
  <c r="D45" i="9"/>
  <c r="E45" i="9"/>
  <c r="O40" i="9"/>
  <c r="F45" i="9"/>
  <c r="K23" i="76" l="1"/>
  <c r="N25" i="76"/>
  <c r="N23" i="76"/>
  <c r="J25" i="76"/>
  <c r="K25" i="76" s="1"/>
  <c r="C42" i="9"/>
  <c r="C34" i="9"/>
  <c r="O43" i="9"/>
  <c r="C35" i="9"/>
  <c r="F42" i="9" s="1"/>
  <c r="O38" i="9"/>
  <c r="C33" i="9"/>
  <c r="K31" i="9"/>
  <c r="K32" i="9" s="1"/>
  <c r="R7" i="54"/>
  <c r="B52" i="63" s="1"/>
  <c r="N26" i="76" l="1"/>
  <c r="J24" i="76"/>
  <c r="J26" i="76" s="1"/>
  <c r="N38" i="9"/>
  <c r="K28" i="9" s="1"/>
  <c r="D42" i="9"/>
  <c r="M38" i="9"/>
  <c r="K27" i="9" s="1"/>
  <c r="E42" i="9"/>
  <c r="K25" i="9"/>
  <c r="K26" i="9"/>
  <c r="D14" i="66"/>
  <c r="N68" i="9"/>
  <c r="D63" i="9"/>
  <c r="C44" i="9"/>
  <c r="R5" i="54"/>
  <c r="B48" i="63" s="1"/>
  <c r="Q5" i="54" l="1"/>
  <c r="B47" i="63" s="1"/>
  <c r="Q52" i="76"/>
  <c r="P5" i="54"/>
  <c r="B46" i="63" s="1"/>
  <c r="P52" i="76"/>
  <c r="K24" i="76"/>
  <c r="G14" i="66"/>
  <c r="B6" i="66" s="1"/>
  <c r="N69" i="9"/>
  <c r="D44" i="9"/>
  <c r="F44" i="9"/>
  <c r="O39" i="9"/>
  <c r="E44" i="9"/>
  <c r="C111" i="9"/>
  <c r="C104" i="9" s="1"/>
  <c r="C96" i="9"/>
  <c r="C91" i="9" s="1"/>
  <c r="D71" i="9"/>
  <c r="D66" i="9" s="1"/>
  <c r="N72" i="9" s="1"/>
  <c r="D77" i="9"/>
  <c r="N75" i="9" s="1"/>
  <c r="C103" i="9"/>
  <c r="C90" i="9"/>
  <c r="D70" i="9"/>
  <c r="C82" i="9"/>
  <c r="C81" i="9" s="1"/>
  <c r="C85" i="9" s="1"/>
  <c r="C86" i="9" s="1"/>
  <c r="D72" i="9" s="1"/>
  <c r="F14" i="66"/>
  <c r="E14" i="66"/>
  <c r="B5" i="66"/>
  <c r="C97" i="9" l="1"/>
  <c r="C98" i="9" s="1"/>
  <c r="E98" i="9" s="1"/>
  <c r="E99" i="9" s="1"/>
  <c r="C113" i="9"/>
  <c r="C114" i="9" s="1"/>
  <c r="E114" i="9" s="1"/>
  <c r="E115" i="9" s="1"/>
  <c r="M86" i="9"/>
  <c r="N86" i="9" s="1"/>
  <c r="M88" i="9"/>
  <c r="N88" i="9" s="1"/>
  <c r="M85" i="9"/>
  <c r="N85" i="9" s="1"/>
  <c r="M84" i="9"/>
  <c r="N84" i="9" s="1"/>
  <c r="M87" i="9"/>
  <c r="N87" i="9" s="1"/>
  <c r="M83" i="9"/>
  <c r="N83" i="9" s="1"/>
  <c r="C5" i="66"/>
  <c r="D5" i="66"/>
  <c r="K29" i="9"/>
  <c r="K30" i="9" s="1"/>
  <c r="R6" i="54"/>
  <c r="B50" i="63" s="1"/>
  <c r="D6" i="66"/>
  <c r="C6" i="66"/>
  <c r="N76" i="9"/>
  <c r="C115" i="9" l="1"/>
  <c r="D76" i="9" s="1"/>
  <c r="D74" i="9" s="1"/>
  <c r="N74" i="9" s="1"/>
  <c r="O77" i="9" s="1"/>
  <c r="O78" i="9" s="1"/>
  <c r="C99" i="9"/>
  <c r="N89" i="9"/>
  <c r="O89" i="9" s="1"/>
  <c r="O79" i="9" l="1"/>
  <c r="C46" i="9" s="1"/>
  <c r="K33" i="9" s="1"/>
  <c r="Q77" i="9"/>
  <c r="F46" i="9"/>
  <c r="O41" i="9"/>
  <c r="I14" i="66"/>
  <c r="B8" i="66" s="1"/>
  <c r="E46" i="9"/>
  <c r="D46" i="9"/>
  <c r="K34" i="9"/>
  <c r="C8" i="66"/>
  <c r="D8" i="66"/>
  <c r="R8" i="54"/>
  <c r="B54" i="63" s="1"/>
  <c r="O81" i="9" l="1"/>
  <c r="O80" i="9"/>
  <c r="I46" i="6" l="1"/>
  <c r="I47" i="6" s="1"/>
  <c r="G46" i="6"/>
  <c r="G47" i="6"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<sst xmlns="http://schemas.openxmlformats.org/spreadsheetml/2006/main" count="9478" uniqueCount="3327">
  <si>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</si>
  <si>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</si>
  <si>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</si>
  <si>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</si>
  <si>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</si>
  <si>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</si>
  <si>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</si>
  <si>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</si>
  <si>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</si>
  <si>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</si>
  <si>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</si>
  <si>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</si>
  <si>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</si>
  <si>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</si>
  <si>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</si>
  <si>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</si>
  <si>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</si>
  <si>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</si>
  <si>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</si>
  <si>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</si>
  <si>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</si>
  <si>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</si>
  <si>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</si>
  <si>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</si>
  <si>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</si>
  <si>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</si>
  <si>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</si>
  <si>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</si>
  <si>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</si>
  <si>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</si>
  <si>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</si>
  <si>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</si>
  <si>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</si>
  <si>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</si>
  <si>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</si>
  <si>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</si>
  <si>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</si>
  <si>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</si>
  <si>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</si>
  <si>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</si>
  <si>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</si>
  <si>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</si>
  <si>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</si>
  <si>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</si>
  <si>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</si>
  <si>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</si>
  <si>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</si>
  <si>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</si>
  <si>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</si>
  <si>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</si>
  <si>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</si>
  <si>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</si>
  <si>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</si>
  <si>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</si>
  <si>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</si>
  <si>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</si>
  <si>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</si>
  <si>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</si>
  <si>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</si>
  <si>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</si>
  <si>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</si>
  <si>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</si>
  <si>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</si>
  <si>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</si>
  <si>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</si>
  <si>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</si>
  <si>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</si>
  <si>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</si>
  <si>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</si>
  <si>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</si>
  <si>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</si>
  <si>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</si>
  <si>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</si>
  <si>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</si>
  <si>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</si>
  <si>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</si>
  <si>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</si>
  <si>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</si>
  <si>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</si>
  <si>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</si>
  <si>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</si>
  <si>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</si>
  <si>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</si>
  <si>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</si>
  <si>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</si>
  <si>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</si>
  <si>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</si>
  <si>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</si>
  <si>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</si>
  <si>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</si>
  <si>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</si>
  <si>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</si>
  <si>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</si>
  <si>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</si>
  <si>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</si>
  <si>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</si>
  <si>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</si>
  <si>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</si>
  <si>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</si>
  <si>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</si>
  <si>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</si>
  <si>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</si>
  <si>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</si>
  <si>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</si>
  <si>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</si>
  <si>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</si>
  <si>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</si>
  <si>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</si>
  <si>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</si>
  <si>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</si>
  <si>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</si>
  <si>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</si>
  <si>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</si>
  <si>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</si>
  <si>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</si>
  <si>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</si>
  <si>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</si>
  <si>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</si>
  <si>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</si>
  <si>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</si>
  <si>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</si>
  <si>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</si>
  <si>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</si>
  <si>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</si>
  <si>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</si>
  <si>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</si>
  <si>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</si>
  <si>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</si>
  <si>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</si>
  <si>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</si>
  <si>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</si>
  <si>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</si>
  <si>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</si>
  <si>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</si>
  <si>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</si>
  <si>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</si>
  <si>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</si>
  <si>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</si>
  <si>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</si>
  <si>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</si>
  <si>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</si>
  <si>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</si>
  <si>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</si>
  <si>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</si>
  <si>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</si>
  <si>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</si>
  <si>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</si>
  <si>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</si>
  <si>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</si>
  <si>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</si>
  <si>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</si>
  <si>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</si>
  <si>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</si>
  <si>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</si>
  <si>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</si>
  <si>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</si>
  <si>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</si>
  <si>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</si>
  <si>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</si>
  <si>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</si>
  <si>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</si>
  <si>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</si>
  <si>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</si>
  <si>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</si>
  <si>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</si>
  <si>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</si>
  <si>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</si>
  <si>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</si>
  <si>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</si>
  <si>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</si>
  <si>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</si>
  <si>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</si>
  <si>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</si>
  <si>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</si>
  <si>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</si>
  <si>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</si>
  <si>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</si>
  <si>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</si>
  <si>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</si>
  <si>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</si>
  <si>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</si>
  <si>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</si>
  <si>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</si>
  <si>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</si>
  <si>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</si>
  <si>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</si>
  <si>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</si>
  <si>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</si>
  <si>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</si>
  <si>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</si>
  <si>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</si>
  <si>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</si>
  <si>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</si>
  <si>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</si>
  <si>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</si>
  <si>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</si>
  <si>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</si>
  <si>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</si>
  <si>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</si>
  <si>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</si>
  <si>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</si>
  <si>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</si>
  <si>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</si>
  <si>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</si>
  <si>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</si>
  <si>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</si>
  <si>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</si>
  <si>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</si>
  <si>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</si>
  <si>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</si>
  <si>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</si>
  <si>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</si>
  <si>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</si>
  <si>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</si>
  <si>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</si>
  <si>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</si>
  <si>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</si>
  <si>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</si>
  <si>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</si>
  <si>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</si>
  <si>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</si>
  <si>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</si>
  <si>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</si>
  <si>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</si>
  <si>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</si>
  <si>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</si>
  <si>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</si>
  <si>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</si>
  <si>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</si>
  <si>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</si>
  <si>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</si>
  <si>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</si>
  <si>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</si>
  <si>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</si>
  <si>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</si>
  <si>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</si>
  <si>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</si>
  <si>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</si>
  <si>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</si>
  <si>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</si>
  <si>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</si>
  <si>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</si>
  <si>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</si>
  <si>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</si>
  <si>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</si>
  <si>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</si>
  <si>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</si>
  <si>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</si>
  <si>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</si>
  <si>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</si>
  <si>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</si>
  <si>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</si>
  <si>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</si>
  <si>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</si>
  <si>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</si>
  <si>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</si>
  <si>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</si>
  <si>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</si>
  <si>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</si>
  <si>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</si>
  <si>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</si>
  <si>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</si>
  <si>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</si>
  <si>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</si>
  <si>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</si>
  <si>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</si>
  <si>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</si>
  <si>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</si>
  <si>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</si>
  <si>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</si>
  <si>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</si>
  <si>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</si>
  <si>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</si>
  <si>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</si>
  <si>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</si>
  <si>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</si>
  <si>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</si>
  <si>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</si>
  <si>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</si>
  <si>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</si>
  <si>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</si>
  <si>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</si>
  <si>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</si>
  <si>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</si>
  <si>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</si>
  <si>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</si>
  <si>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</si>
  <si>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</si>
  <si>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</si>
  <si>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</si>
  <si>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</si>
  <si>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</si>
  <si>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</si>
  <si>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</si>
  <si>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</si>
  <si>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</si>
  <si>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</si>
  <si>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</si>
  <si>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</si>
  <si>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</si>
  <si>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</si>
  <si>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</si>
  <si>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</si>
  <si>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</si>
  <si>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</si>
  <si>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</si>
  <si>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</si>
  <si>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</si>
  <si>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</si>
  <si>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</si>
  <si>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</si>
  <si>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</si>
  <si>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</si>
  <si>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</si>
  <si>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</si>
  <si>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</si>
  <si>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</si>
  <si>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</si>
  <si>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</si>
  <si>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</si>
  <si>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</si>
  <si>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</si>
  <si>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</si>
  <si>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</si>
  <si>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</si>
  <si>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</si>
  <si>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</si>
  <si>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</si>
  <si>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</si>
  <si>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</si>
  <si>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</si>
  <si>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</si>
  <si>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</si>
  <si>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</si>
  <si>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</si>
  <si>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</si>
  <si>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</si>
  <si>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</si>
  <si>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</si>
  <si>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</si>
  <si>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</si>
  <si>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</si>
  <si>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</si>
  <si>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</si>
  <si>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</si>
  <si>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</si>
  <si>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</si>
  <si>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</si>
  <si>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</si>
  <si>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</si>
  <si>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</si>
  <si>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</si>
  <si>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</si>
  <si>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</si>
  <si>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</si>
  <si>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</si>
  <si>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</si>
  <si>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</si>
  <si>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</si>
  <si>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</si>
  <si>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</si>
  <si>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</si>
  <si>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</si>
  <si>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</si>
  <si>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</si>
  <si>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</si>
  <si>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</si>
  <si>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</si>
  <si>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</si>
  <si>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</si>
  <si>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</si>
  <si>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</si>
  <si>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</si>
  <si>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</si>
  <si>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</si>
  <si>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</si>
  <si>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</si>
  <si>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</si>
  <si>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</si>
  <si>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</si>
  <si>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</si>
  <si>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</si>
  <si>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</si>
  <si>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</si>
  <si>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</si>
  <si>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</si>
  <si>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</si>
  <si>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</si>
  <si>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</si>
  <si>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</si>
  <si>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</si>
  <si>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</si>
  <si>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</si>
  <si>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</si>
  <si>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</si>
  <si>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</si>
  <si>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</si>
  <si>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</si>
  <si>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</si>
  <si>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</si>
  <si>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</si>
  <si>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</si>
  <si>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</si>
  <si>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</si>
  <si>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</si>
  <si>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</si>
  <si>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</si>
  <si>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</si>
  <si>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</si>
  <si>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</si>
  <si>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</si>
  <si>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</si>
  <si>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</si>
  <si>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</si>
  <si>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</si>
  <si>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</si>
  <si>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</si>
  <si>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</si>
  <si>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</si>
  <si>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</si>
  <si>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</si>
  <si>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</si>
  <si>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</si>
  <si>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</si>
  <si>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</si>
  <si>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</si>
  <si>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</si>
  <si>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</si>
  <si>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</si>
  <si>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</si>
  <si>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</si>
  <si>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</si>
  <si>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</si>
  <si>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</si>
  <si>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</si>
  <si>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</si>
  <si>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</si>
  <si>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</si>
  <si>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</si>
  <si>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</si>
  <si>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</si>
  <si>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</si>
  <si>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</si>
  <si>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</si>
  <si>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</si>
  <si>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</si>
  <si>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</si>
  <si>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</si>
  <si>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</si>
  <si>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</si>
  <si>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</si>
  <si>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</si>
  <si>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</si>
  <si>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</si>
  <si>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</si>
  <si>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</si>
  <si>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</si>
  <si>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</si>
  <si>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</si>
  <si>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</si>
  <si>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</si>
  <si>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</si>
  <si>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</si>
  <si>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</si>
  <si>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</si>
  <si>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</si>
  <si>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</si>
  <si>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</si>
  <si>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</si>
  <si>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</si>
  <si>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</si>
  <si>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</si>
  <si>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</si>
  <si>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</si>
  <si>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</si>
  <si>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</si>
  <si>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</si>
  <si>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</si>
  <si>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</si>
  <si>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</si>
  <si>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</si>
  <si>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</si>
  <si>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</si>
  <si>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</si>
  <si>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</si>
  <si>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</si>
  <si>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</si>
  <si>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</si>
  <si>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</si>
  <si>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</si>
  <si>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</si>
  <si>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</si>
  <si>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</si>
  <si>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</si>
  <si>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</si>
  <si>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</si>
  <si>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</si>
  <si>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</si>
  <si>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</si>
  <si>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</si>
  <si>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</si>
  <si>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</si>
  <si>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</si>
  <si>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</si>
  <si>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</si>
  <si>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</si>
  <si>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</si>
  <si>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</si>
  <si>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</si>
  <si>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</si>
  <si>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</si>
  <si>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</si>
  <si>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</si>
  <si>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</si>
  <si>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</si>
  <si>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</si>
  <si>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</si>
  <si>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</si>
  <si>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</si>
  <si>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</si>
  <si>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</si>
  <si>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</si>
  <si>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</si>
  <si>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</si>
  <si>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</si>
  <si>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</si>
  <si>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</si>
  <si>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</si>
  <si>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</si>
  <si>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</si>
  <si>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</si>
  <si>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</si>
  <si>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</si>
  <si>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</si>
  <si>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</si>
  <si>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</si>
  <si>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</si>
  <si>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</si>
  <si>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</si>
  <si>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</si>
  <si>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</si>
  <si>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</si>
  <si>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</si>
  <si>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</si>
  <si>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</si>
  <si>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</si>
  <si>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</si>
  <si>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</si>
  <si>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</si>
  <si>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</si>
  <si>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</si>
  <si>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</si>
  <si>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</si>
  <si>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</si>
  <si>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</si>
  <si>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</si>
  <si>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</si>
  <si>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</si>
  <si>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</si>
  <si>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</si>
  <si>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</si>
  <si>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</si>
  <si>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</si>
  <si>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</si>
  <si>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</si>
  <si>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</si>
  <si>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</si>
  <si>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</si>
  <si>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</si>
  <si>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</si>
  <si>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</si>
  <si>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</si>
  <si>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</si>
  <si>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</si>
  <si>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</si>
  <si>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</si>
  <si>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</si>
  <si>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</si>
  <si>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</si>
  <si>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</si>
  <si>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</si>
  <si>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</si>
  <si>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</si>
  <si>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</si>
  <si>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</si>
  <si>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</si>
  <si>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</si>
  <si>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</si>
  <si>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</si>
  <si>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</si>
  <si>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</si>
  <si>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</si>
  <si>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</si>
  <si>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</si>
  <si>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</si>
  <si>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</si>
  <si>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</si>
  <si>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</si>
  <si>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</si>
  <si>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</si>
  <si>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</si>
  <si>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</si>
  <si>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</si>
  <si>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</si>
  <si>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</si>
  <si>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</si>
  <si>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</si>
  <si>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</si>
  <si>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</si>
  <si>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</si>
  <si>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</si>
  <si>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</si>
  <si>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</si>
  <si>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</si>
  <si>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</si>
  <si>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</si>
  <si>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</si>
  <si>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</si>
  <si>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</si>
  <si>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</si>
  <si>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</si>
  <si>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</si>
  <si>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</si>
  <si>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</si>
  <si>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</si>
  <si>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</si>
  <si>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</si>
  <si>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</si>
  <si>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</si>
  <si>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</si>
  <si>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</si>
  <si>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</si>
  <si>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</si>
  <si>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</si>
  <si>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</si>
  <si>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</si>
  <si>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</si>
  <si>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</si>
  <si>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</si>
  <si>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</si>
  <si>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</si>
  <si>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</si>
  <si>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</si>
  <si>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</si>
  <si>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</si>
  <si>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</si>
  <si>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</si>
  <si>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</si>
  <si>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</si>
  <si>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</si>
  <si>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</si>
  <si>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</si>
  <si>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</si>
  <si>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</si>
  <si>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</si>
  <si>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</si>
  <si>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</si>
  <si>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</si>
  <si>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</si>
  <si>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</si>
  <si>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</si>
  <si>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</si>
  <si>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</si>
  <si>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</si>
  <si>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</si>
  <si>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</si>
  <si>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</si>
  <si>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</si>
  <si>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</si>
  <si>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</si>
  <si>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</si>
  <si>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</si>
  <si>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</si>
  <si>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</si>
  <si>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</si>
  <si>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</si>
  <si>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</si>
  <si>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</si>
  <si>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</si>
  <si>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</si>
  <si>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</si>
  <si>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</si>
  <si>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</si>
  <si>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</si>
  <si>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</si>
  <si>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</si>
  <si>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</si>
  <si>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</si>
  <si>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</si>
  <si>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</si>
  <si>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</si>
  <si>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</si>
  <si>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</si>
  <si>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</si>
  <si>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</si>
  <si>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</si>
  <si>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</si>
  <si>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</si>
  <si>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</si>
  <si>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</si>
  <si>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</si>
  <si>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</si>
  <si>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</si>
  <si>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</si>
  <si>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</si>
  <si>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</si>
  <si>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</si>
  <si>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</si>
  <si>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</si>
  <si>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</si>
  <si>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</si>
  <si>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</si>
  <si>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</si>
  <si>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</si>
  <si>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</si>
  <si>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</si>
  <si>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</si>
  <si>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</si>
  <si>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</si>
  <si>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</si>
  <si>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</si>
  <si>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</si>
  <si>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</si>
  <si>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</si>
  <si>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</si>
  <si>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</si>
  <si>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</si>
  <si>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</si>
  <si>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</si>
  <si>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</si>
  <si>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</si>
  <si>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</si>
  <si>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</si>
  <si>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</si>
  <si>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</si>
  <si>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</si>
  <si>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</si>
  <si>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</si>
  <si>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</si>
  <si>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</si>
  <si>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</si>
  <si>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</si>
  <si>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</si>
  <si>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</si>
  <si>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</si>
  <si>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</si>
  <si>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</si>
  <si>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</si>
  <si>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</si>
  <si>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</si>
  <si>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</si>
  <si>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</si>
  <si>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</si>
  <si>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</si>
  <si>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</si>
  <si>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</si>
  <si>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</si>
  <si>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</si>
  <si>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</si>
  <si>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</si>
  <si>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</si>
  <si>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</si>
  <si>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</si>
  <si>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</si>
  <si>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</si>
  <si>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</si>
  <si>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</si>
  <si>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</si>
  <si>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</si>
  <si>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</si>
  <si>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</si>
  <si>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</si>
  <si>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</si>
  <si>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</si>
  <si>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</si>
  <si>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</si>
  <si>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</si>
  <si>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</si>
  <si>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</si>
  <si>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</si>
  <si>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</si>
  <si>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</si>
  <si>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</si>
  <si>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</si>
  <si>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</si>
  <si>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</si>
  <si>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</si>
  <si>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</si>
  <si>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</si>
  <si>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</si>
  <si>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</si>
  <si>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</si>
  <si>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</si>
  <si>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</si>
  <si>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</si>
  <si>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</si>
  <si>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</si>
  <si>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</si>
  <si>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</si>
  <si>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</si>
  <si>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</si>
  <si>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</si>
  <si>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</si>
  <si>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</si>
  <si>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</si>
  <si>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</si>
  <si>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</si>
  <si>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</si>
  <si>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</si>
  <si>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</si>
  <si>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</si>
  <si>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</si>
  <si>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</si>
  <si>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</si>
  <si>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</si>
  <si>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</si>
  <si>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</si>
  <si>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</si>
  <si>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</si>
  <si>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</si>
  <si>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</si>
  <si>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</si>
  <si>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</si>
  <si>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</si>
  <si>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</si>
  <si>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</si>
  <si>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</si>
  <si>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</si>
  <si>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</si>
  <si>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</si>
  <si>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</si>
  <si>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</si>
  <si>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</si>
  <si>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</si>
  <si>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</si>
  <si>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</si>
  <si>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</si>
  <si>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</si>
  <si>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</si>
  <si>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</si>
  <si>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</si>
  <si>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</si>
  <si>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</si>
  <si>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</si>
  <si>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</si>
  <si>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</si>
  <si>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</si>
  <si>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</si>
  <si>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</si>
  <si>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</si>
  <si>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</si>
  <si>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</si>
  <si>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</si>
  <si>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</si>
  <si>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</si>
  <si>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</si>
  <si>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</si>
  <si>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</si>
  <si>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</si>
  <si>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</si>
  <si>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</si>
  <si>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</si>
  <si>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</si>
  <si>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</si>
  <si>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</si>
  <si>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</si>
  <si>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</si>
  <si>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</si>
  <si>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</si>
  <si>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</si>
  <si>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</si>
  <si>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</si>
  <si>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</si>
  <si>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</si>
  <si>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</si>
  <si>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</si>
  <si>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</si>
  <si>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</si>
  <si>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</si>
  <si>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</si>
  <si>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</si>
  <si>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</si>
  <si>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</si>
  <si>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</si>
  <si>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</si>
  <si>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</si>
  <si>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</si>
  <si>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</si>
  <si>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</si>
  <si>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</si>
  <si>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</si>
  <si>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</si>
  <si>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</si>
  <si>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</si>
  <si>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</si>
  <si>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</si>
  <si>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</si>
  <si>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</si>
  <si>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</si>
  <si>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</si>
  <si>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</si>
  <si>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</si>
  <si>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</si>
  <si>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</si>
  <si>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</si>
  <si>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</si>
  <si>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</si>
  <si>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</si>
  <si>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</si>
  <si>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</si>
  <si>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</si>
  <si>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</si>
  <si>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</si>
  <si>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</si>
  <si>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</si>
  <si>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</si>
  <si>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</si>
  <si>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</si>
  <si>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</si>
  <si>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</si>
  <si>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</si>
  <si>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</si>
  <si>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</si>
  <si>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</si>
  <si>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</si>
  <si>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</si>
  <si>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</si>
  <si>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</si>
  <si>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</si>
  <si>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</si>
  <si>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</si>
  <si>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</si>
  <si>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</si>
  <si>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</si>
  <si>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</si>
  <si>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</si>
  <si>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</si>
  <si>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</si>
  <si>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</si>
  <si>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</si>
  <si>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</si>
  <si>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</si>
  <si>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</si>
  <si>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</si>
  <si>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</si>
  <si>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</si>
  <si>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</si>
  <si>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</si>
  <si>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</si>
  <si>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</si>
  <si>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</si>
  <si>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</si>
  <si>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</si>
  <si>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</si>
  <si>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</si>
  <si>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</si>
  <si>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</si>
  <si>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</si>
  <si>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</si>
  <si>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</si>
  <si>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</si>
  <si>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</si>
  <si>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</si>
  <si>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</si>
  <si>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</si>
  <si>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</si>
  <si>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</si>
  <si>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</si>
  <si>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</si>
  <si>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</si>
  <si>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</si>
  <si>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</si>
  <si>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</si>
  <si>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</si>
  <si>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</si>
  <si>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</si>
  <si>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</si>
  <si>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</si>
  <si>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</si>
  <si>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</si>
  <si>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</si>
  <si>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</si>
  <si>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</si>
  <si>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</si>
  <si>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</si>
  <si>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</si>
  <si>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</si>
  <si>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</si>
  <si>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</si>
  <si>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</si>
  <si>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</si>
  <si>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</si>
  <si>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</si>
  <si>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</si>
  <si>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</si>
  <si>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</si>
  <si>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</si>
  <si>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</si>
  <si>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</si>
  <si>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</si>
  <si>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</si>
  <si>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</si>
  <si>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</si>
  <si>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</si>
  <si>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</si>
  <si>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</si>
  <si>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</si>
  <si>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</si>
  <si>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</si>
  <si>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</si>
  <si>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</si>
  <si>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</si>
  <si>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</si>
  <si>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</si>
  <si>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</si>
  <si>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</si>
  <si>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</si>
  <si>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</si>
  <si>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</si>
  <si>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</si>
  <si>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</si>
  <si>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</si>
  <si>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</si>
  <si>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</si>
  <si>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</si>
  <si>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</si>
  <si>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</si>
  <si>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</si>
  <si>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</si>
  <si>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</si>
  <si>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</si>
  <si>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</si>
  <si>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</si>
  <si>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</si>
  <si>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</si>
  <si>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</si>
  <si>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</si>
  <si>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</si>
  <si>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</si>
  <si>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</si>
  <si>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</si>
  <si>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</si>
  <si>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</si>
  <si>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</si>
  <si>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</si>
  <si>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</si>
  <si>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</si>
  <si>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</si>
  <si>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</si>
  <si>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</si>
  <si>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</si>
  <si>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</si>
  <si>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</si>
  <si>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</si>
  <si>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</si>
  <si>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</si>
  <si>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</si>
  <si>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</si>
  <si>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</si>
  <si>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</si>
  <si>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</si>
  <si>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</si>
  <si>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</si>
  <si>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</si>
  <si>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</si>
  <si>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</si>
  <si>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</si>
  <si>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</si>
  <si>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</si>
  <si>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</si>
  <si>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</si>
  <si>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</si>
  <si>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</si>
  <si>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</si>
  <si>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</si>
  <si>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</si>
  <si>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</si>
  <si>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</si>
  <si>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</si>
  <si>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</si>
  <si>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</si>
  <si>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</si>
  <si>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</si>
  <si>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</si>
  <si>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</si>
  <si>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</si>
  <si>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</si>
  <si>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</si>
  <si>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</si>
  <si>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</si>
  <si>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</si>
  <si>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</si>
  <si>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</si>
  <si>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</si>
  <si>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</si>
  <si>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</si>
  <si>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</si>
  <si>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</si>
  <si>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</si>
  <si>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</si>
  <si>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</si>
  <si>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</si>
  <si>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</si>
  <si>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</si>
  <si>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</si>
  <si>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</si>
  <si>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</si>
  <si>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</si>
  <si>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</si>
  <si>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</si>
  <si>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</si>
  <si>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</si>
  <si>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</si>
  <si>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</si>
  <si>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</si>
  <si>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</si>
  <si>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</si>
  <si>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</si>
  <si>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</si>
  <si>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</si>
  <si>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</si>
  <si>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</si>
  <si>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</si>
  <si>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</si>
  <si>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</si>
  <si>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</si>
  <si>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</si>
  <si>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</si>
  <si>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</si>
  <si>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</si>
  <si>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</si>
  <si>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</si>
  <si>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</si>
  <si>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</si>
  <si>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</si>
  <si>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</si>
  <si>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</si>
  <si>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</si>
  <si>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</si>
  <si>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</si>
  <si>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</si>
  <si>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</si>
  <si>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</si>
  <si>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</si>
  <si>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</si>
  <si>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</si>
  <si>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</si>
  <si>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</si>
  <si>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</si>
  <si>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</si>
  <si>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</si>
  <si>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</si>
  <si>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</si>
  <si>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</si>
  <si>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</si>
  <si>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</si>
  <si>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</si>
  <si>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</si>
  <si>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</si>
  <si>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</si>
  <si>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</si>
  <si>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</si>
  <si>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</si>
  <si>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</si>
  <si>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</si>
  <si>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</si>
  <si>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</si>
  <si>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</si>
  <si>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</si>
  <si>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</si>
  <si>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</si>
  <si>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</si>
  <si>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</si>
  <si>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</si>
  <si>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</si>
  <si>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</si>
  <si>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</si>
  <si>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</si>
  <si>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</si>
  <si>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</si>
  <si>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</si>
  <si>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</si>
  <si>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</si>
  <si>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</si>
  <si>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</si>
  <si>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</si>
  <si>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</si>
  <si>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</si>
  <si>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</si>
  <si>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</si>
  <si>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</si>
  <si>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</si>
  <si>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</si>
  <si>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</si>
  <si>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</si>
  <si>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</si>
  <si>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</si>
  <si>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</si>
  <si>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</si>
  <si>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</si>
  <si>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</si>
  <si>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</si>
  <si>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</si>
  <si>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</si>
  <si>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</si>
  <si>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</si>
  <si>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</si>
  <si>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</si>
  <si>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</si>
  <si>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</si>
  <si>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</si>
  <si>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</si>
  <si>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</si>
  <si>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</si>
  <si>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</si>
  <si>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</si>
  <si>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</si>
  <si>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</si>
  <si>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</si>
  <si>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</si>
  <si>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</si>
  <si>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</si>
  <si>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</si>
  <si>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</si>
  <si>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</si>
  <si>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</si>
  <si>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</si>
  <si>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</si>
  <si>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</si>
  <si>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</si>
  <si>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</si>
  <si>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</si>
  <si>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</si>
  <si>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</si>
  <si>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</si>
  <si>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</si>
  <si>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</si>
  <si>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</si>
  <si>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</si>
  <si>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</si>
  <si>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</si>
  <si>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</si>
  <si>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</si>
  <si>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</si>
  <si>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</si>
  <si>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</si>
  <si>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</si>
  <si>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</si>
  <si>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</si>
  <si>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</si>
  <si>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</si>
  <si>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</si>
  <si>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</si>
  <si>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</si>
  <si>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</si>
  <si>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</si>
  <si>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</si>
  <si>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</si>
  <si>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</si>
  <si>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</si>
  <si>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</si>
  <si>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</si>
  <si>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</si>
  <si>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</si>
  <si>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</si>
  <si>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</si>
  <si>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</si>
  <si>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</si>
  <si>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</si>
  <si>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</si>
  <si>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</si>
  <si>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</si>
  <si>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</si>
  <si>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</si>
  <si>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</si>
  <si>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</si>
  <si>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</si>
  <si>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</si>
  <si>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</si>
  <si>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</si>
  <si>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</si>
  <si>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</si>
  <si>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</si>
  <si>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</si>
  <si>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</si>
  <si>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</si>
  <si>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</si>
  <si>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</si>
  <si>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</si>
  <si>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</si>
  <si>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</si>
  <si>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</si>
  <si>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</si>
  <si>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</si>
  <si>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</si>
  <si>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</si>
  <si>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</si>
  <si>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</si>
  <si>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</si>
  <si>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</si>
  <si>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</si>
  <si>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</si>
  <si>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</si>
  <si>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</si>
  <si>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</si>
  <si>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</si>
  <si>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</si>
  <si>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</si>
  <si>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</si>
  <si>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</si>
  <si>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</si>
  <si>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</si>
  <si>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</si>
  <si>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</si>
  <si>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</si>
  <si>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</si>
  <si>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</si>
  <si>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</si>
  <si>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</si>
  <si>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</si>
  <si>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</si>
  <si>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</si>
  <si>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</si>
  <si>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</si>
  <si>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</si>
  <si>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</si>
  <si>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</si>
  <si>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</si>
  <si>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</si>
  <si>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</si>
  <si>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</si>
  <si>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</si>
  <si>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</si>
  <si>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</si>
  <si>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</si>
  <si>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</si>
  <si>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</si>
  <si>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</si>
  <si>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</si>
  <si>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</si>
  <si>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</si>
  <si>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</si>
  <si>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</si>
  <si>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</si>
  <si>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</si>
  <si>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</si>
  <si>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</si>
  <si>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</si>
  <si>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</si>
  <si>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</si>
  <si>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</si>
  <si>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</si>
  <si>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</si>
  <si>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</si>
  <si>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</si>
  <si>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</si>
  <si>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</si>
  <si>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</si>
  <si>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</si>
  <si>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</si>
  <si>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</si>
  <si>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</si>
  <si>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</si>
  <si>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</si>
  <si>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</si>
  <si>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</si>
  <si>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</si>
  <si>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</si>
  <si>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</si>
  <si>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</si>
  <si>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</si>
  <si>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</si>
  <si>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</si>
  <si>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</si>
  <si>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</si>
  <si>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</si>
  <si>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</si>
  <si>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</si>
  <si>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</si>
  <si>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</si>
  <si>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</si>
  <si>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</si>
  <si>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</si>
  <si>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</si>
  <si>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</si>
  <si>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</si>
  <si>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</si>
  <si>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</si>
  <si>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</si>
  <si>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</si>
  <si>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</si>
  <si>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</si>
  <si>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</si>
  <si>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</si>
  <si>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</si>
  <si>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</si>
  <si>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</si>
  <si>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</si>
  <si>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</si>
  <si>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</si>
  <si>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</si>
  <si>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</si>
  <si>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</si>
  <si>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</si>
  <si>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</si>
  <si>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</si>
  <si>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</si>
  <si>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</si>
  <si>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</si>
  <si>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</si>
  <si>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</si>
  <si>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</si>
  <si>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</si>
  <si>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</si>
  <si>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</si>
  <si>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</si>
  <si>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</si>
  <si>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</si>
  <si>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</si>
  <si>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</si>
  <si>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</si>
  <si>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</si>
  <si>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</si>
  <si>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</si>
  <si>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</si>
  <si>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</si>
  <si>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</si>
  <si>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</si>
  <si>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</si>
  <si>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</si>
  <si>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</si>
  <si>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</si>
  <si>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</si>
  <si>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</si>
  <si>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</si>
  <si>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</si>
  <si>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</si>
  <si>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</si>
  <si>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</si>
  <si>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</si>
  <si>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</si>
  <si>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</si>
  <si>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</si>
  <si>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</si>
  <si>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</si>
  <si>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</si>
  <si>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</si>
  <si>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</si>
  <si>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</si>
  <si>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</si>
  <si>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</si>
  <si>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</si>
  <si>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</si>
  <si>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</si>
  <si>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</si>
  <si>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</si>
  <si>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</si>
  <si>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</si>
  <si>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</si>
  <si>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</si>
  <si>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</si>
  <si>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</si>
  <si>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</si>
  <si>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</si>
  <si>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</si>
  <si>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</si>
  <si>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</si>
  <si>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</si>
  <si>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</si>
  <si>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</si>
  <si>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</si>
  <si>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</si>
  <si>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</si>
  <si>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</si>
  <si>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</si>
  <si>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</si>
  <si>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</si>
  <si>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</si>
  <si>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</si>
  <si>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</si>
  <si>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</si>
  <si>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</si>
  <si>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</si>
  <si>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</si>
  <si>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</si>
  <si>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</si>
  <si>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</si>
  <si>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</si>
  <si>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</si>
  <si>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</si>
  <si>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</si>
  <si>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</si>
  <si>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</si>
  <si>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</si>
  <si>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</si>
  <si>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</si>
  <si>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</si>
  <si>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</si>
  <si>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</si>
  <si>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</si>
  <si>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</si>
  <si>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</si>
  <si>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</si>
  <si>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</si>
  <si>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</si>
  <si>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</si>
  <si>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</si>
  <si>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</si>
  <si>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</si>
  <si>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</si>
  <si>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</si>
  <si>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</si>
  <si>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</si>
  <si>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</si>
  <si>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</si>
  <si>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</si>
  <si>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</si>
  <si>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</si>
  <si>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</si>
  <si>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</si>
  <si>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</si>
  <si>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</si>
  <si>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</si>
  <si>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</si>
  <si>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</si>
  <si>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</si>
  <si>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</si>
  <si>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</si>
  <si>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</si>
  <si>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</si>
  <si>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</si>
  <si>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</si>
  <si>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</si>
  <si>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</si>
  <si>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</si>
  <si>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</si>
  <si>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</si>
  <si>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</si>
  <si>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</si>
  <si>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</si>
  <si>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</si>
  <si>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</si>
  <si>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</si>
  <si>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</si>
  <si>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</si>
  <si>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</si>
  <si>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</si>
  <si>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</si>
  <si>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</si>
  <si>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</si>
  <si>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</si>
  <si>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</si>
  <si>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</si>
  <si>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</si>
  <si>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</si>
  <si>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</si>
  <si>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</si>
  <si>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</si>
  <si>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</si>
  <si>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</si>
  <si>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</si>
  <si>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</si>
  <si>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</si>
  <si>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</si>
  <si>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</si>
  <si>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</si>
  <si>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</si>
  <si>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</si>
  <si>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</si>
  <si>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</si>
  <si>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</si>
  <si>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</si>
  <si>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</si>
  <si>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</si>
  <si>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</si>
  <si>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</si>
  <si>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</si>
  <si>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</si>
  <si>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</si>
  <si>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</si>
  <si>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</si>
  <si>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</si>
  <si>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</si>
  <si>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</si>
  <si>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</si>
  <si>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</si>
  <si>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</si>
  <si>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</si>
  <si>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</si>
  <si>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</si>
  <si>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</si>
  <si>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</si>
  <si>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</si>
  <si>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</si>
  <si>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</si>
  <si>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</si>
  <si>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</si>
  <si>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</si>
  <si>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</si>
  <si>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</si>
  <si>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</si>
  <si>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</si>
  <si>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</si>
  <si>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</si>
  <si>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</si>
  <si>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</si>
  <si>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</si>
  <si>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</si>
  <si>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</si>
  <si>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</si>
  <si>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</si>
  <si>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</si>
  <si>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</si>
  <si>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</si>
  <si>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</si>
  <si>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</si>
  <si>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</si>
  <si>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</si>
  <si>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</si>
  <si>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</si>
  <si>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</si>
  <si>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</si>
  <si>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</si>
  <si>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</si>
  <si>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</si>
  <si>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</si>
  <si>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</si>
  <si>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</si>
  <si>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</si>
  <si>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</si>
  <si>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</si>
  <si>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</si>
  <si>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</si>
  <si>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</si>
  <si>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</si>
  <si>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</si>
  <si>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</si>
  <si>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</si>
  <si>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</si>
  <si>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</si>
  <si>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</si>
  <si>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</si>
  <si>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</si>
  <si>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</si>
  <si>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</si>
  <si>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</si>
  <si>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</si>
  <si>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</si>
  <si>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</si>
  <si>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</si>
  <si>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</si>
  <si>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</si>
  <si>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</si>
  <si>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</si>
  <si>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</si>
  <si>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</si>
  <si>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</si>
  <si>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</si>
  <si>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</si>
  <si>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</si>
  <si>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</si>
  <si>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</si>
  <si>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</si>
  <si>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</si>
  <si>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</si>
  <si>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</si>
  <si>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</si>
  <si>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</si>
  <si>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</si>
  <si>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</si>
  <si>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</si>
  <si>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</si>
  <si>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</si>
  <si>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</si>
  <si>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</si>
  <si>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</si>
  <si>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</si>
  <si>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</si>
  <si>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</si>
  <si>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</si>
  <si>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</si>
  <si>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</si>
  <si>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</si>
  <si>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</si>
  <si>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</si>
  <si>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</si>
  <si>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</si>
  <si>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</si>
  <si>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</si>
  <si>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</si>
  <si>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</si>
  <si>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</si>
  <si>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</si>
  <si>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</si>
  <si>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</si>
  <si>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</si>
  <si>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</si>
  <si>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</si>
  <si>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</si>
  <si>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</si>
  <si>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</si>
  <si>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</si>
  <si>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</si>
  <si>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</si>
  <si>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</si>
  <si>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</si>
  <si>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</si>
  <si>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</si>
  <si>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</si>
  <si>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</si>
  <si>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</si>
  <si>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</si>
  <si>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</si>
  <si>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</si>
  <si>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</si>
  <si>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</si>
  <si>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</si>
  <si>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</si>
  <si>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</si>
  <si>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</si>
  <si>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</si>
  <si>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</si>
  <si>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</si>
  <si>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</si>
  <si>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</si>
  <si>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</si>
  <si>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</si>
  <si>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</si>
  <si>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</si>
  <si>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</si>
  <si>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</si>
  <si>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</si>
  <si>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</si>
  <si>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</si>
  <si>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</si>
  <si>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</si>
  <si>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</si>
  <si>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</si>
  <si>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</si>
  <si>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</si>
  <si>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</si>
  <si>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</si>
  <si>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</si>
  <si>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</si>
  <si>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</si>
  <si>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</si>
  <si>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</si>
  <si>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</si>
  <si>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</si>
  <si>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</si>
  <si>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</si>
  <si>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</si>
  <si>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</si>
  <si>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</si>
  <si>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</si>
  <si>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</si>
  <si>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</si>
  <si>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</si>
  <si>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</si>
  <si>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</si>
  <si>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</si>
  <si>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</si>
  <si>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</si>
  <si>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</si>
  <si>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</si>
  <si>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</si>
  <si>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</si>
  <si>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</si>
  <si>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</si>
  <si>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</si>
  <si>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</si>
  <si>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</si>
  <si>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</si>
  <si>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</si>
  <si>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</si>
  <si>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</si>
  <si>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</si>
  <si>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</si>
  <si>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</si>
  <si>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</si>
  <si>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</si>
  <si>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</si>
  <si>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</si>
  <si>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</si>
  <si>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</si>
  <si>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</si>
  <si>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</si>
  <si>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</si>
  <si>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</si>
  <si>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</si>
  <si>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</si>
  <si>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</si>
  <si>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</si>
  <si>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</si>
  <si>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</si>
  <si>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</si>
  <si>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</si>
  <si>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</si>
  <si>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</si>
  <si>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</si>
  <si>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</si>
  <si>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</si>
  <si>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</si>
  <si>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</si>
  <si>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</si>
  <si>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</si>
  <si>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</si>
  <si>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</si>
  <si>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</si>
  <si>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</si>
  <si>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</si>
  <si>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</si>
  <si>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</si>
  <si>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</si>
  <si>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</si>
  <si>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</si>
  <si>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</si>
  <si>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</si>
  <si>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</si>
  <si>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</si>
  <si>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</si>
  <si>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</si>
  <si>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</si>
  <si>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</si>
  <si>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</si>
  <si>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</si>
  <si>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</si>
  <si>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</si>
  <si>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</si>
  <si>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</si>
  <si>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</si>
  <si>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</si>
  <si>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</si>
  <si>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</si>
  <si>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</si>
  <si>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</si>
  <si>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</si>
  <si>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</si>
  <si>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</si>
  <si>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</si>
  <si>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</si>
  <si>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</si>
  <si>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</si>
  <si>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</si>
  <si>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</si>
  <si>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</si>
  <si>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</si>
  <si>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</si>
  <si>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</si>
  <si>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</si>
  <si>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</si>
  <si>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</si>
  <si>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</si>
  <si>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</si>
  <si>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</si>
  <si>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</si>
  <si>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</si>
  <si>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</si>
  <si>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</si>
  <si>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</si>
  <si>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</si>
  <si>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</si>
  <si>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</si>
  <si>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</si>
  <si>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</si>
  <si>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</si>
  <si>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</si>
  <si>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</si>
  <si>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</si>
  <si>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</si>
  <si>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</si>
  <si>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</si>
  <si>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</si>
  <si>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</si>
  <si>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</si>
  <si>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</si>
  <si>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</si>
  <si>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</si>
  <si>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</si>
  <si>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</si>
  <si>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</si>
  <si>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</si>
  <si>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</si>
  <si>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</si>
  <si>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</si>
  <si>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</si>
  <si>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</si>
  <si>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</si>
  <si>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</si>
  <si>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</si>
  <si>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</si>
  <si>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</si>
  <si>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</si>
  <si>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</si>
  <si>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</si>
  <si>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</si>
  <si>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</si>
  <si>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</si>
  <si>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</si>
  <si>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</si>
  <si>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</si>
  <si>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</si>
  <si>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</si>
  <si>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</si>
  <si>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</si>
  <si>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</si>
  <si>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</si>
  <si>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</si>
  <si>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</si>
  <si>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</si>
  <si>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</si>
  <si>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</si>
  <si>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</si>
  <si>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</si>
  <si>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</si>
  <si>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</si>
  <si>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</si>
  <si>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</si>
  <si>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</si>
  <si>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</si>
  <si>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</si>
  <si>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</si>
  <si>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</si>
  <si>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</si>
  <si>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</si>
  <si>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</si>
  <si>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</si>
  <si>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</si>
  <si>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</si>
  <si>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</si>
  <si>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</si>
  <si>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</si>
  <si>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</si>
  <si>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</si>
  <si>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</si>
  <si>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</si>
  <si>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</si>
  <si>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</si>
  <si>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</si>
  <si>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</si>
  <si>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</si>
  <si>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</si>
  <si>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</si>
  <si>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</si>
  <si>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</si>
  <si>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</si>
  <si>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</si>
  <si>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</si>
  <si>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</si>
  <si>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</si>
  <si>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</si>
  <si>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</si>
  <si>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</si>
  <si>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</si>
  <si>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</si>
  <si>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</si>
  <si>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</si>
  <si>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</si>
  <si>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</si>
  <si>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</si>
  <si>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</si>
  <si>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</si>
  <si>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</si>
  <si>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</si>
  <si>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</si>
  <si>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</si>
  <si>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</si>
  <si>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</si>
  <si>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</si>
  <si>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</si>
  <si>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</si>
  <si>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</si>
  <si>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</si>
  <si>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</si>
  <si>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</si>
  <si>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</si>
  <si>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</si>
  <si>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</si>
  <si>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</si>
  <si>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</si>
  <si>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</si>
  <si>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</si>
  <si>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</si>
  <si>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</si>
  <si>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</si>
  <si>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</si>
  <si>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</si>
  <si>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</si>
  <si>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</si>
  <si>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</si>
  <si>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</si>
  <si>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</si>
  <si>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</si>
  <si>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</si>
  <si>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</si>
  <si>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</si>
  <si>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</si>
  <si>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</si>
  <si>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</si>
  <si>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</si>
  <si>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</si>
  <si>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</si>
  <si>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</si>
  <si>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</si>
  <si>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</si>
  <si>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</si>
  <si>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</si>
  <si>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</si>
  <si>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</si>
  <si>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</si>
  <si>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</si>
  <si>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</si>
  <si>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</si>
  <si>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</si>
  <si>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</si>
  <si>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</si>
  <si>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</si>
  <si>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</si>
  <si>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</si>
  <si>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</si>
  <si>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</si>
  <si>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</si>
  <si>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</si>
  <si>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</si>
  <si>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</si>
  <si>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</si>
  <si>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</si>
  <si>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</si>
  <si>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</si>
  <si>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</si>
  <si>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</si>
  <si>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</si>
  <si>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</si>
  <si>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</si>
  <si>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</si>
  <si>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</si>
  <si>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</si>
  <si>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</si>
  <si>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</si>
  <si>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</si>
  <si>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</si>
  <si>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</si>
  <si>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</si>
  <si>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</si>
  <si>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</si>
  <si>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</si>
  <si>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</si>
  <si>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</si>
  <si>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</si>
  <si>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</si>
  <si>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</si>
  <si>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</si>
  <si>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</si>
  <si>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</si>
  <si>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</si>
  <si>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</si>
  <si>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</si>
  <si>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</si>
  <si>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</si>
  <si>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</si>
  <si>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</si>
  <si>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</si>
  <si>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</si>
  <si>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</si>
  <si>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</si>
  <si>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</si>
  <si>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</si>
  <si>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</si>
  <si>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</si>
  <si>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</si>
  <si>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</si>
  <si>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</si>
  <si>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</si>
  <si>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</si>
  <si>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</si>
  <si>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</si>
  <si>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</si>
  <si>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</si>
  <si>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</si>
  <si>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</si>
  <si>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</si>
  <si>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</si>
  <si>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</si>
  <si>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</si>
  <si>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</si>
  <si>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</si>
  <si>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</si>
  <si>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</si>
  <si>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</si>
  <si>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</si>
  <si>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</si>
  <si>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</si>
  <si>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</si>
  <si>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</si>
  <si>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</si>
  <si>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</si>
  <si>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</si>
  <si>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</si>
  <si>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</si>
  <si>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</si>
  <si>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</si>
  <si>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</si>
  <si>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</si>
  <si>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</si>
  <si>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</si>
  <si>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</si>
  <si>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</si>
  <si>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</si>
  <si>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</si>
  <si>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</si>
  <si>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</si>
  <si>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</si>
  <si>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</si>
  <si>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</si>
  <si>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</si>
  <si>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</si>
  <si>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</si>
  <si>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</si>
  <si>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</si>
  <si>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</si>
  <si>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</si>
  <si>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</si>
  <si>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</si>
  <si>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</si>
  <si>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</si>
  <si>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</si>
  <si>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</si>
  <si>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</si>
  <si>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</si>
  <si>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</si>
  <si>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</si>
  <si>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</si>
  <si>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</si>
  <si>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</si>
  <si>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</si>
  <si>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</si>
  <si>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</si>
  <si>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</si>
  <si>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</si>
  <si>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</si>
  <si>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</si>
  <si>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</si>
  <si>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</si>
  <si>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</si>
  <si>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</si>
  <si>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</si>
  <si>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</si>
  <si>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</si>
  <si>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</si>
  <si>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</si>
  <si>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</si>
  <si>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</si>
  <si>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</si>
  <si>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</si>
  <si>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</si>
  <si>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</si>
  <si>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</si>
  <si>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</si>
  <si>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</si>
  <si>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</si>
  <si>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</si>
  <si>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</si>
  <si>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</si>
  <si>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</si>
  <si>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</si>
  <si>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</si>
  <si>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</si>
  <si>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</si>
  <si>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</si>
  <si>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</si>
  <si>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</si>
  <si>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</si>
  <si>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</si>
  <si>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</si>
  <si>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</si>
  <si>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</si>
  <si>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</si>
  <si>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</si>
  <si>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</si>
  <si>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</si>
  <si>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</si>
  <si>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</si>
  <si>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</si>
  <si>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</si>
  <si>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</si>
  <si>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</si>
  <si>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</si>
  <si>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</si>
  <si>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</si>
  <si>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</si>
  <si>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</si>
  <si>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</si>
  <si>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</si>
  <si>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</si>
  <si>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</si>
  <si>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</si>
  <si>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</si>
  <si>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</si>
  <si>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</si>
  <si>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</si>
  <si>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</si>
  <si>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</si>
  <si>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</si>
  <si>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</si>
  <si>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</si>
  <si>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</si>
  <si>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</si>
  <si>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</si>
  <si>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</si>
  <si>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</si>
  <si>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</si>
  <si>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</si>
  <si>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</si>
  <si>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</si>
  <si>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</si>
  <si>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</si>
  <si>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</si>
  <si>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</si>
  <si>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</si>
  <si>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</si>
  <si>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</si>
  <si>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</si>
  <si>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</si>
  <si>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</si>
  <si>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</si>
  <si>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</si>
  <si>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</si>
  <si>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</si>
  <si>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</si>
  <si>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</si>
  <si>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</si>
  <si>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</si>
  <si>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</si>
  <si>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</si>
  <si>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</si>
  <si>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</si>
  <si>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</si>
  <si>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</si>
  <si>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</si>
  <si>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</si>
  <si>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</si>
  <si>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</si>
  <si>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</si>
  <si>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</si>
  <si>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</si>
  <si>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</si>
  <si>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</si>
  <si>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</si>
  <si>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</si>
  <si>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</si>
  <si>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</si>
  <si>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</si>
  <si>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</si>
  <si>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</si>
  <si>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</si>
  <si>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</si>
  <si>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</si>
  <si>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</si>
  <si>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</si>
  <si>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</si>
  <si>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</si>
  <si>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</si>
  <si>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</si>
  <si>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</si>
  <si>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</si>
  <si>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</si>
  <si>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</si>
  <si>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</si>
  <si>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</si>
  <si>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</si>
  <si>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</si>
  <si>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</si>
  <si>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</si>
  <si>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</si>
  <si>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</si>
  <si>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</si>
  <si>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</si>
  <si>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</si>
  <si>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</si>
  <si>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</si>
  <si>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</si>
  <si>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</si>
  <si>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</si>
  <si>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</si>
  <si>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</si>
  <si>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</si>
  <si>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</si>
  <si>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</si>
  <si>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</si>
  <si>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</si>
  <si>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</si>
  <si>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</si>
  <si>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</si>
  <si>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</si>
  <si>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</si>
  <si>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</si>
  <si>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</si>
  <si>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</si>
  <si>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</si>
  <si>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</si>
  <si>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</si>
  <si>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</si>
  <si>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</si>
  <si>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</si>
  <si>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</si>
  <si>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</si>
  <si>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</si>
  <si>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</si>
  <si>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</si>
  <si>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</si>
  <si>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</si>
  <si>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</si>
  <si>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</si>
  <si>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</si>
  <si>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</si>
  <si>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</si>
  <si>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</si>
  <si>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</si>
  <si>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</si>
  <si>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</si>
  <si>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</si>
  <si>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</si>
  <si>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</si>
  <si>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</si>
  <si>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</si>
  <si>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</si>
  <si>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</si>
  <si>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</si>
  <si>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</si>
  <si>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</si>
  <si>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</si>
  <si>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</si>
  <si>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</si>
  <si>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</si>
  <si>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</si>
  <si>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</si>
  <si>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</si>
  <si>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</si>
  <si>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</si>
  <si>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</si>
  <si>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</si>
  <si>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</si>
  <si>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</si>
  <si>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</si>
  <si>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</si>
  <si>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</si>
  <si>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</si>
  <si>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</si>
  <si>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</si>
  <si>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</si>
  <si>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</si>
  <si>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</si>
  <si>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</si>
  <si>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</si>
  <si>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</si>
  <si>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</si>
  <si>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</si>
  <si>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</si>
  <si>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</si>
  <si>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</si>
  <si>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</si>
  <si>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</si>
  <si>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</si>
  <si>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</si>
  <si>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</si>
  <si>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</si>
  <si>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</si>
  <si>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</si>
  <si>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</si>
  <si>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</si>
  <si>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</si>
  <si>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</si>
  <si>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</si>
  <si>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</si>
  <si>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</si>
  <si>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</si>
  <si>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</si>
  <si>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</si>
  <si>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</si>
  <si>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</si>
  <si>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</si>
  <si>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</si>
  <si>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</si>
  <si>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</si>
  <si>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</si>
  <si>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</si>
  <si>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</si>
  <si>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</si>
  <si>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</si>
  <si>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</si>
  <si>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</si>
  <si>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</si>
  <si>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</si>
  <si>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</si>
  <si>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</si>
  <si>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</si>
  <si>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</si>
  <si>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</si>
  <si>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</si>
  <si>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</si>
  <si>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</si>
  <si>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</si>
  <si>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</si>
  <si>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</si>
  <si>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</si>
  <si>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</si>
  <si>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</si>
  <si>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</si>
  <si>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</si>
  <si>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</si>
  <si>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</si>
  <si>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</si>
  <si>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</si>
  <si>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</si>
  <si>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</si>
  <si>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</si>
  <si>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</si>
  <si>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</si>
  <si>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</si>
  <si>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</si>
  <si>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</si>
  <si>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</si>
  <si>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</si>
  <si>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</si>
  <si>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</si>
  <si>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</si>
  <si>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</si>
  <si>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</si>
  <si>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</si>
  <si>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</si>
  <si>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</si>
  <si>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</si>
  <si>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</si>
  <si>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</si>
  <si>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</si>
  <si>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</si>
  <si>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</si>
  <si>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</si>
  <si>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</si>
  <si>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</si>
  <si>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</si>
  <si>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</si>
  <si>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</si>
  <si>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</si>
  <si>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</si>
  <si>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</si>
  <si>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</si>
  <si>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</si>
  <si>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</si>
  <si>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</si>
  <si>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</si>
  <si>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</si>
  <si>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</si>
  <si>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</si>
  <si>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</si>
  <si>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</si>
  <si>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</si>
  <si>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</si>
  <si>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</si>
  <si>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</si>
  <si>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</si>
  <si>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</si>
  <si>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</si>
  <si>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</si>
  <si>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</si>
  <si>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</si>
  <si>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</si>
  <si>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</si>
  <si>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</si>
  <si>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</si>
  <si>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</si>
  <si>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</si>
  <si>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</si>
  <si>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</si>
  <si>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</si>
  <si>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</si>
  <si>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</si>
  <si>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</si>
  <si>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</si>
  <si>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</si>
  <si>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</si>
  <si>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</si>
  <si>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</si>
  <si>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</si>
  <si>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</si>
  <si>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</si>
  <si>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</si>
  <si>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</si>
  <si>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</si>
  <si>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</si>
  <si>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</si>
  <si>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</si>
  <si>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</si>
  <si>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</si>
  <si>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</si>
  <si>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</si>
  <si>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</si>
  <si>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</si>
  <si>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</si>
  <si>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</si>
  <si>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</si>
  <si>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</si>
  <si>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</si>
  <si>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</si>
  <si>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</si>
  <si>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</si>
  <si>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</si>
  <si>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</si>
  <si>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</si>
  <si>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</si>
  <si>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</si>
  <si>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</si>
  <si>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</si>
  <si>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</si>
  <si>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</si>
  <si>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</si>
  <si>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</si>
  <si>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</si>
  <si>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</si>
  <si>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</si>
  <si>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</si>
  <si>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</si>
  <si>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</si>
  <si>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</si>
  <si>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</si>
  <si>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</si>
  <si>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</si>
  <si>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</si>
  <si>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</si>
  <si>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</si>
  <si>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</si>
  <si>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</si>
  <si>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</si>
  <si>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</si>
  <si>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</si>
  <si>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</si>
  <si>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</si>
  <si>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</si>
  <si>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</si>
  <si>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</si>
  <si>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</si>
  <si>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</si>
  <si>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</si>
  <si>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</si>
  <si>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</si>
  <si>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</si>
  <si>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</si>
  <si>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</si>
  <si>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</si>
  <si>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</si>
  <si>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</si>
  <si>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</si>
  <si>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</si>
  <si>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</si>
  <si>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</si>
  <si>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</si>
  <si>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</si>
  <si>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</si>
  <si>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</si>
  <si>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</si>
  <si>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</si>
  <si>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</si>
  <si>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</si>
  <si>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</si>
  <si>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</si>
  <si>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</si>
  <si>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</si>
  <si>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</si>
  <si>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</si>
  <si>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</si>
  <si>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</si>
  <si>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</si>
  <si>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</si>
  <si>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</si>
  <si>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</si>
  <si>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</si>
  <si>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</si>
  <si>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</si>
  <si>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</si>
  <si>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</si>
  <si>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</si>
  <si>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</si>
  <si>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</si>
  <si>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</si>
  <si>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</si>
  <si>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</si>
  <si>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</si>
  <si>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</si>
  <si>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</si>
  <si>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</si>
  <si>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</si>
  <si>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</si>
  <si>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</si>
  <si>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</si>
  <si>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</si>
  <si>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</si>
  <si>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</si>
  <si>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</si>
  <si>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</si>
  <si>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</si>
  <si>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</si>
  <si>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</si>
  <si>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</si>
  <si>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</si>
  <si>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</si>
  <si>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</si>
  <si>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</si>
  <si>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</si>
  <si>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</si>
  <si>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</si>
  <si>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</si>
  <si>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</si>
  <si>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</si>
  <si>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</si>
  <si>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</si>
  <si>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</si>
  <si>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</si>
  <si>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</si>
  <si>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</si>
  <si>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</si>
  <si>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</si>
  <si>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</si>
  <si>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</si>
  <si>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</si>
  <si>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</si>
  <si>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</si>
  <si>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</si>
  <si>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</si>
  <si>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</si>
  <si>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</si>
  <si>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</si>
  <si>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</si>
  <si>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</si>
  <si>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</si>
  <si>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</si>
  <si>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</si>
  <si>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</si>
  <si>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</si>
  <si>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</si>
  <si>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</si>
  <si>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</si>
  <si>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</si>
  <si>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</si>
  <si>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</si>
  <si>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</si>
  <si>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</si>
  <si>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</si>
  <si>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</si>
  <si>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</si>
  <si>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</si>
  <si>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</si>
  <si>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</si>
  <si>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</si>
  <si>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</si>
  <si>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</si>
  <si>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</si>
  <si>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</si>
  <si>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</si>
  <si>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</si>
  <si>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</si>
  <si>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</si>
  <si>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</si>
  <si>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</si>
  <si>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</si>
  <si>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</si>
  <si>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</si>
  <si>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</si>
  <si>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</si>
  <si>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</si>
  <si>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</si>
  <si>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</si>
  <si>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</si>
  <si>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</si>
  <si>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</si>
  <si>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</si>
  <si>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</si>
  <si>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</si>
  <si>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</si>
  <si>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</si>
  <si>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</si>
  <si>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</si>
  <si>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</si>
  <si>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</si>
  <si>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</si>
  <si>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</si>
  <si>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</si>
  <si>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</si>
  <si>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</si>
  <si>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</si>
  <si>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</si>
  <si>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</si>
  <si>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</si>
  <si>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</si>
  <si>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</si>
  <si>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</si>
  <si>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</si>
  <si>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</si>
  <si>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</si>
  <si>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</si>
  <si>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</si>
  <si>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</si>
  <si>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</si>
  <si>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</si>
  <si>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</si>
  <si>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</si>
  <si>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</si>
  <si>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</si>
  <si>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</si>
  <si>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</si>
  <si>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</si>
  <si>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</si>
  <si>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</si>
  <si>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</si>
  <si>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</si>
  <si>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</si>
  <si>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</si>
  <si>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</si>
  <si>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</si>
  <si>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</si>
  <si>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</si>
  <si>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</si>
  <si>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</si>
  <si>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</si>
  <si>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</si>
  <si>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</si>
  <si>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</si>
  <si>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</si>
  <si>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</si>
  <si>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</si>
  <si>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</si>
  <si>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</si>
  <si>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</si>
  <si>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</si>
  <si>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</si>
  <si>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</si>
  <si>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</si>
  <si>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</si>
  <si>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</si>
  <si>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</si>
  <si>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</si>
  <si>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</si>
  <si>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</si>
  <si>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</si>
  <si>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</si>
  <si>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</si>
  <si>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</si>
  <si>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</si>
  <si>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</si>
  <si>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</si>
  <si>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</si>
  <si>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</si>
  <si>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</si>
  <si>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</si>
  <si>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</si>
  <si>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</si>
  <si>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</si>
  <si>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</si>
  <si>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</si>
  <si>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</si>
  <si>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</si>
  <si>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</si>
  <si>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</si>
  <si>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</si>
  <si>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</si>
  <si>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</si>
  <si>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</si>
  <si>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</si>
  <si>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</si>
  <si>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</si>
  <si>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</si>
  <si>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</si>
  <si>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</si>
  <si>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</si>
  <si>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</si>
  <si>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</si>
  <si>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</si>
  <si>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</si>
  <si>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</si>
  <si>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</si>
  <si>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</si>
  <si>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</si>
  <si>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</si>
  <si>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</si>
  <si>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</si>
  <si>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</si>
  <si>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</si>
  <si>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</si>
  <si>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</si>
  <si>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</si>
  <si>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</si>
  <si>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</si>
  <si>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</si>
  <si>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</si>
  <si>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</si>
  <si>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</si>
  <si>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</si>
  <si>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</si>
  <si>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</si>
  <si>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</si>
  <si>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</si>
  <si>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</si>
  <si>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</si>
  <si>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</si>
  <si>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</si>
  <si>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</si>
  <si>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</si>
  <si>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</si>
  <si>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</si>
  <si>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</si>
  <si>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</si>
  <si>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</si>
  <si>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</si>
  <si>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</si>
  <si>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</si>
  <si>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</si>
  <si>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</si>
  <si>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</si>
  <si>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</si>
  <si>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</si>
  <si>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</si>
  <si>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</si>
  <si>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</si>
  <si>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</si>
  <si>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</si>
  <si>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</si>
  <si>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</si>
  <si>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</si>
  <si>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</si>
  <si>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</si>
  <si>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</si>
  <si>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</si>
  <si>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</si>
  <si>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</si>
  <si>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</si>
  <si>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</si>
  <si>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</si>
  <si>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</si>
  <si>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</si>
  <si>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</si>
  <si>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</si>
  <si>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</si>
  <si>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</si>
  <si>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</si>
  <si>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</si>
  <si>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</si>
  <si>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</si>
  <si>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</si>
  <si>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</si>
  <si>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</si>
  <si>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</si>
  <si>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</si>
  <si>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</si>
  <si>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</si>
  <si>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</si>
  <si>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</si>
  <si>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</si>
  <si>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</si>
  <si>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</si>
  <si>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</si>
  <si>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</si>
  <si>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</si>
  <si>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</si>
  <si>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</si>
  <si>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</si>
  <si>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</si>
  <si>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</si>
  <si>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</si>
  <si>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</si>
  <si>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</si>
  <si>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</si>
  <si>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</si>
  <si>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</si>
  <si>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</si>
  <si>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</si>
  <si>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</si>
  <si>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</si>
  <si>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</si>
  <si>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</si>
  <si>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</si>
  <si>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</si>
  <si>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</si>
  <si>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</si>
  <si>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</si>
  <si>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</si>
  <si>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</si>
  <si>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</si>
  <si>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</si>
  <si>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</si>
  <si>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</si>
  <si>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</si>
  <si>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</si>
  <si>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</si>
  <si>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</si>
  <si>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</si>
  <si>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</si>
  <si>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</si>
  <si>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</si>
  <si>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</si>
  <si>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</si>
  <si>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</si>
  <si>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</si>
  <si>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</si>
  <si>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</si>
  <si>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</si>
  <si>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</si>
  <si>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</si>
  <si>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</si>
  <si>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</si>
  <si>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</si>
  <si>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</si>
  <si>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</si>
  <si>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</si>
  <si>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</si>
  <si>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</si>
  <si>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</si>
  <si>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</si>
  <si>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</si>
  <si>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</si>
  <si>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</si>
  <si>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</si>
  <si>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</si>
  <si>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</si>
  <si>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</si>
  <si>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</si>
  <si>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</si>
  <si>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</si>
  <si>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</si>
  <si>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</si>
  <si>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</si>
  <si>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</si>
  <si>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</si>
  <si>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</si>
  <si>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</si>
  <si>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</si>
  <si>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</si>
  <si>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</si>
  <si>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</si>
  <si>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</si>
  <si>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</si>
  <si>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</si>
  <si>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</si>
  <si>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</si>
  <si>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</si>
  <si>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</si>
  <si>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</si>
  <si>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</si>
  <si>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</si>
  <si>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</si>
  <si>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</si>
  <si>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</si>
  <si>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</si>
  <si>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</si>
  <si>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</si>
  <si>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</si>
  <si>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</si>
  <si>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</si>
  <si>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</si>
  <si>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</si>
  <si>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</si>
  <si>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</si>
  <si>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</si>
  <si>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</si>
  <si>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</si>
  <si>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</si>
  <si>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</si>
  <si>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</si>
  <si>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挂牌</t>
  </si>
  <si>
    <t>综合用地(含住宅)</t>
  </si>
  <si>
    <t>地块名称</t>
  </si>
  <si>
    <t>城市</t>
  </si>
  <si>
    <t>用地性质</t>
  </si>
  <si>
    <t>区县</t>
  </si>
  <si>
    <t>出让方式</t>
  </si>
  <si>
    <t>建设用地面积(㎡)</t>
  </si>
  <si>
    <t>规划建筑面积(㎡)</t>
  </si>
  <si>
    <t>截止日期</t>
  </si>
  <si>
    <t>成交日期</t>
  </si>
  <si>
    <t>受让单位</t>
  </si>
  <si>
    <t>成交价(万元)</t>
  </si>
  <si>
    <t>成交每亩价(万元/亩)</t>
  </si>
  <si>
    <t>成交楼面价(元/㎡)</t>
  </si>
  <si>
    <t>溢价率</t>
  </si>
  <si>
    <t>欧红伟</t>
  </si>
  <si>
    <t>梁津</t>
  </si>
  <si>
    <t>抵押</t>
  </si>
  <si>
    <t>抵押价格</t>
  </si>
  <si>
    <t>其他：</t>
  </si>
  <si>
    <t>企业</t>
  </si>
  <si>
    <t>《出让公告》</t>
    <phoneticPr fontId="6" type="noConversion"/>
  </si>
  <si>
    <t>一致</t>
  </si>
  <si>
    <t>出让</t>
  </si>
  <si>
    <t>商业</t>
  </si>
  <si>
    <t>否</t>
  </si>
  <si>
    <t>通路</t>
  </si>
  <si>
    <t>通电</t>
  </si>
  <si>
    <t>通讯</t>
  </si>
  <si>
    <t>通上水</t>
  </si>
  <si>
    <t>通下水</t>
  </si>
  <si>
    <t>燃气</t>
  </si>
  <si>
    <t>地上</t>
  </si>
  <si>
    <t>底商</t>
  </si>
  <si>
    <t>住宅用房</t>
  </si>
  <si>
    <t>商业用房</t>
  </si>
  <si>
    <t>回购商业</t>
  </si>
  <si>
    <t>回购住宅</t>
  </si>
  <si>
    <t>钢混</t>
  </si>
  <si>
    <t>押一</t>
  </si>
  <si>
    <r>
      <rPr>
        <sz val="11"/>
        <rFont val="仿宋_GB2312"/>
        <family val="3"/>
        <charset val="134"/>
      </rPr>
      <t>城镇住宅</t>
    </r>
    <phoneticPr fontId="3" type="noConversion"/>
  </si>
  <si>
    <t>住宅、商业</t>
    <phoneticPr fontId="3" type="noConversion"/>
  </si>
  <si>
    <t>住宅、商业、综合</t>
    <phoneticPr fontId="3" type="noConversion"/>
  </si>
  <si>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</si>
  <si>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</si>
  <si>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</si>
  <si>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</si>
  <si>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</si>
  <si>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</si>
  <si>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</si>
  <si>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</si>
  <si>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</si>
  <si>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</si>
  <si>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</si>
  <si>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</si>
  <si>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</si>
  <si>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</si>
  <si>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</si>
  <si>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</si>
  <si>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</si>
  <si>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</si>
  <si>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</si>
  <si>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</si>
  <si>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</si>
  <si>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</si>
  <si>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零星有其他用地，基本不影响本宗地</t>
  </si>
  <si>
    <t>单面临街</t>
  </si>
  <si>
    <t>估价对象所在区域公共配套设施齐备情况一般</t>
  </si>
  <si>
    <t>估价对象所在区域基础设施水平-六通</t>
    <phoneticPr fontId="3" type="noConversion"/>
  </si>
  <si>
    <t>正常</t>
  </si>
  <si>
    <t>住宅、商业</t>
  </si>
  <si>
    <r>
      <t>70</t>
    </r>
    <r>
      <rPr>
        <sz val="11"/>
        <color indexed="8"/>
        <rFont val="宋体"/>
        <family val="3"/>
        <charset val="134"/>
      </rPr>
      <t>年、</t>
    </r>
    <r>
      <rPr>
        <sz val="11"/>
        <color indexed="8"/>
        <rFont val="Arial"/>
        <family val="2"/>
      </rPr>
      <t>40</t>
    </r>
    <r>
      <rPr>
        <sz val="11"/>
        <color indexed="8"/>
        <rFont val="宋体"/>
        <family val="3"/>
        <charset val="134"/>
      </rPr>
      <t>年</t>
    </r>
    <phoneticPr fontId="26" type="noConversion"/>
  </si>
  <si>
    <t>一般</t>
  </si>
  <si>
    <t>较好</t>
  </si>
  <si>
    <t>六通</t>
  </si>
  <si>
    <t>次干道</t>
  </si>
  <si>
    <t>周边2公里内区域自然环境一般</t>
  </si>
  <si>
    <r>
      <rPr>
        <sz val="11"/>
        <rFont val="宋体"/>
        <family val="3"/>
        <charset val="134"/>
      </rPr>
      <t>周边</t>
    </r>
    <r>
      <rPr>
        <sz val="11"/>
        <rFont val="Arial"/>
        <family val="2"/>
      </rPr>
      <t>2</t>
    </r>
    <r>
      <rPr>
        <sz val="11"/>
        <rFont val="宋体"/>
        <family val="3"/>
        <charset val="134"/>
      </rPr>
      <t>公里内区域自然环境较好</t>
    </r>
    <phoneticPr fontId="26" type="noConversion"/>
  </si>
  <si>
    <t>估价对象所在区域公共配套设施齐备情况较好</t>
    <phoneticPr fontId="26" type="noConversion"/>
  </si>
  <si>
    <r>
      <rPr>
        <sz val="11"/>
        <rFont val="宋体"/>
        <family val="3"/>
        <charset val="134"/>
      </rPr>
      <t>周边</t>
    </r>
    <r>
      <rPr>
        <sz val="11"/>
        <rFont val="Arial"/>
        <family val="2"/>
      </rPr>
      <t>2</t>
    </r>
    <r>
      <rPr>
        <sz val="11"/>
        <rFont val="宋体"/>
        <family val="3"/>
        <charset val="134"/>
      </rPr>
      <t>公里内区域自然环境一般</t>
    </r>
    <phoneticPr fontId="26" type="noConversion"/>
  </si>
  <si>
    <t>楼面地价</t>
  </si>
  <si>
    <t>比较法-住宅、综合</t>
  </si>
  <si>
    <t>高层</t>
  </si>
  <si>
    <t>高层</t>
    <phoneticPr fontId="21" type="noConversion"/>
  </si>
  <si>
    <t>多层</t>
    <phoneticPr fontId="21"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</si>
  <si>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</si>
  <si>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</si>
  <si>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</si>
  <si>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</si>
  <si>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t>无</t>
    <phoneticPr fontId="26" type="noConversion"/>
  </si>
  <si>
    <t>回购住宅</t>
    <phoneticPr fontId="26" type="noConversion"/>
  </si>
  <si>
    <t>住宅</t>
    <phoneticPr fontId="21" type="noConversion"/>
  </si>
  <si>
    <t>60-70（含）</t>
  </si>
  <si>
    <t>精装修</t>
  </si>
  <si>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</si>
  <si>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</si>
  <si>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</si>
  <si>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</si>
  <si>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</si>
  <si>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</si>
  <si>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</si>
  <si>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</si>
  <si>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</si>
  <si>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t>专业</t>
  </si>
  <si>
    <t>毛坯</t>
  </si>
  <si>
    <t>次干道</t>
    <phoneticPr fontId="21" type="noConversion"/>
  </si>
  <si>
    <t>售价</t>
  </si>
  <si>
    <t>住宅用房</t>
    <phoneticPr fontId="14" type="noConversion"/>
  </si>
  <si>
    <t>成新度</t>
    <phoneticPr fontId="21" type="noConversion"/>
  </si>
  <si>
    <t>土地</t>
  </si>
  <si>
    <t>项目全部</t>
  </si>
  <si>
    <t>三通一平</t>
  </si>
  <si>
    <r>
      <rPr>
        <sz val="11"/>
        <color theme="1"/>
        <rFont val="宋体"/>
        <family val="3"/>
        <charset val="134"/>
      </rPr>
      <t>剩余法</t>
    </r>
    <r>
      <rPr>
        <sz val="11"/>
        <color theme="1"/>
        <rFont val="Arial"/>
        <family val="2"/>
      </rPr>
      <t>-</t>
    </r>
    <r>
      <rPr>
        <sz val="11"/>
        <color theme="1"/>
        <rFont val="宋体"/>
        <family val="3"/>
        <charset val="134"/>
      </rPr>
      <t>待开发</t>
    </r>
    <r>
      <rPr>
        <sz val="11"/>
        <color theme="1"/>
        <rFont val="Arial"/>
        <family val="2"/>
      </rPr>
      <t xml:space="preserve"> (2)</t>
    </r>
    <phoneticPr fontId="14" type="noConversion"/>
  </si>
  <si>
    <t>剩余法-待开发</t>
  </si>
  <si>
    <t>天津津辉置业有限公司</t>
    <phoneticPr fontId="6" type="noConversion"/>
  </si>
  <si>
    <t>天津市</t>
  </si>
  <si>
    <t>天津市</t>
    <phoneticPr fontId="6" type="noConversion"/>
  </si>
  <si>
    <t>河东区六纬路西侧金茂天津河东一热电项目</t>
    <phoneticPr fontId="6" type="noConversion"/>
  </si>
  <si>
    <t>住宅、商业、地下车库</t>
    <phoneticPr fontId="6" type="noConversion"/>
  </si>
  <si>
    <t>证号</t>
    <phoneticPr fontId="233" type="noConversion"/>
  </si>
  <si>
    <t>所属地块</t>
    <phoneticPr fontId="233" type="noConversion"/>
  </si>
  <si>
    <t>南地块</t>
    <phoneticPr fontId="233" type="noConversion"/>
  </si>
  <si>
    <t>规证0007</t>
    <phoneticPr fontId="233" type="noConversion"/>
  </si>
  <si>
    <t>规证0008</t>
    <phoneticPr fontId="233" type="noConversion"/>
  </si>
  <si>
    <t>规证0011</t>
    <phoneticPr fontId="233" type="noConversion"/>
  </si>
  <si>
    <t>规证0010</t>
    <phoneticPr fontId="233" type="noConversion"/>
  </si>
  <si>
    <t>合计</t>
    <phoneticPr fontId="233" type="noConversion"/>
  </si>
  <si>
    <t>小计</t>
    <phoneticPr fontId="233" type="noConversion"/>
  </si>
  <si>
    <t>地上建筑面积</t>
    <phoneticPr fontId="233" type="noConversion"/>
  </si>
  <si>
    <t>地下建筑面积</t>
    <phoneticPr fontId="233" type="noConversion"/>
  </si>
  <si>
    <t>高层住宅</t>
  </si>
  <si>
    <t>高层住宅</t>
    <phoneticPr fontId="233" type="noConversion"/>
  </si>
  <si>
    <t>洋房</t>
  </si>
  <si>
    <t>洋房</t>
    <phoneticPr fontId="233" type="noConversion"/>
  </si>
  <si>
    <t>商业</t>
    <phoneticPr fontId="233" type="noConversion"/>
  </si>
  <si>
    <t>（1层商业）</t>
    <phoneticPr fontId="233" type="noConversion"/>
  </si>
  <si>
    <r>
      <t>（1</t>
    </r>
    <r>
      <rPr>
        <sz val="11"/>
        <color theme="1"/>
        <rFont val="宋体"/>
        <family val="3"/>
        <charset val="134"/>
        <scheme val="minor"/>
      </rPr>
      <t>-3层配套公建）</t>
    </r>
    <phoneticPr fontId="233" type="noConversion"/>
  </si>
  <si>
    <t>设备用房</t>
    <phoneticPr fontId="233" type="noConversion"/>
  </si>
  <si>
    <t>经营性配套</t>
    <phoneticPr fontId="233" type="noConversion"/>
  </si>
  <si>
    <t>非经营性配套</t>
    <phoneticPr fontId="233" type="noConversion"/>
  </si>
  <si>
    <t>设备</t>
    <phoneticPr fontId="233" type="noConversion"/>
  </si>
  <si>
    <t>内容</t>
    <phoneticPr fontId="233" type="noConversion"/>
  </si>
  <si>
    <t>6#</t>
    <phoneticPr fontId="233" type="noConversion"/>
  </si>
  <si>
    <t>7#</t>
    <phoneticPr fontId="233" type="noConversion"/>
  </si>
  <si>
    <t>小计</t>
    <phoneticPr fontId="233" type="noConversion"/>
  </si>
  <si>
    <t>3#</t>
    <phoneticPr fontId="233" type="noConversion"/>
  </si>
  <si>
    <t>配建1号</t>
    <phoneticPr fontId="233" type="noConversion"/>
  </si>
  <si>
    <t>2#</t>
    <phoneticPr fontId="233" type="noConversion"/>
  </si>
  <si>
    <t>1#</t>
    <phoneticPr fontId="233" type="noConversion"/>
  </si>
  <si>
    <t>5#</t>
    <phoneticPr fontId="233" type="noConversion"/>
  </si>
  <si>
    <t>燃气调压站</t>
    <phoneticPr fontId="233" type="noConversion"/>
  </si>
  <si>
    <t>4#</t>
    <phoneticPr fontId="233" type="noConversion"/>
  </si>
  <si>
    <t>车库</t>
  </si>
  <si>
    <t>车库</t>
    <phoneticPr fontId="233" type="noConversion"/>
  </si>
  <si>
    <t>幼儿园</t>
    <phoneticPr fontId="233" type="noConversion"/>
  </si>
  <si>
    <t>总计</t>
    <phoneticPr fontId="233" type="noConversion"/>
  </si>
  <si>
    <t>北地块</t>
    <phoneticPr fontId="233" type="noConversion"/>
  </si>
  <si>
    <t>个数</t>
    <phoneticPr fontId="233" type="noConversion"/>
  </si>
  <si>
    <t>中地块</t>
    <phoneticPr fontId="233" type="noConversion"/>
  </si>
  <si>
    <t>办公</t>
    <phoneticPr fontId="233" type="noConversion"/>
  </si>
  <si>
    <t>保留厂房</t>
  </si>
  <si>
    <t>保留厂房</t>
    <phoneticPr fontId="233" type="noConversion"/>
  </si>
  <si>
    <t>设备及其他</t>
    <phoneticPr fontId="233" type="noConversion"/>
  </si>
  <si>
    <t>设备及其他</t>
    <phoneticPr fontId="233" type="noConversion"/>
  </si>
  <si>
    <t>总面积</t>
    <phoneticPr fontId="233" type="noConversion"/>
  </si>
  <si>
    <t>地上总面积</t>
    <phoneticPr fontId="233" type="noConversion"/>
  </si>
  <si>
    <t>地下总面积</t>
    <phoneticPr fontId="233" type="noConversion"/>
  </si>
  <si>
    <t>居住总面积</t>
    <phoneticPr fontId="233" type="noConversion"/>
  </si>
  <si>
    <t>商业金融总面积</t>
    <phoneticPr fontId="233" type="noConversion"/>
  </si>
  <si>
    <t>板块</t>
  </si>
  <si>
    <t>土地位置</t>
  </si>
  <si>
    <t>地块编号</t>
  </si>
  <si>
    <t>详细规划</t>
  </si>
  <si>
    <t>商业比例</t>
  </si>
  <si>
    <t>保障房类型</t>
  </si>
  <si>
    <t>推出保障房面积(㎡)</t>
  </si>
  <si>
    <t>成交保障房面积(㎡)</t>
  </si>
  <si>
    <t>配建自住房情况</t>
  </si>
  <si>
    <t>推出特殊政策</t>
  </si>
  <si>
    <t>成交特殊政策</t>
  </si>
  <si>
    <t>配建养老设施面积情况</t>
  </si>
  <si>
    <t>公告时间</t>
  </si>
  <si>
    <t>起始日期</t>
  </si>
  <si>
    <t>公告编号</t>
  </si>
  <si>
    <t>交易状态</t>
  </si>
  <si>
    <t>起始价(万元)</t>
  </si>
  <si>
    <t>推出每亩价(万元/亩)</t>
  </si>
  <si>
    <t>推出楼面价(元/㎡)</t>
  </si>
  <si>
    <t>推出楼面价(除保障房)(元/㎡)</t>
  </si>
  <si>
    <t>成交楼面价(除保障房)(元/㎡)</t>
  </si>
  <si>
    <t>出让年限</t>
  </si>
  <si>
    <t>竞报整体自持比例(%)</t>
  </si>
  <si>
    <t>竞报商品住房自持比例(%)</t>
  </si>
  <si>
    <t>竞报商办部分自持比例(%)</t>
  </si>
  <si>
    <t>东丽区津滨大道与雪山路交口西北侧</t>
  </si>
  <si>
    <t>东丽区</t>
  </si>
  <si>
    <t>津东丽津(挂)2016-104号</t>
  </si>
  <si>
    <t>城镇住宅、商服用地</t>
  </si>
  <si>
    <t>b2地块≤2.3(含商业服务网点建筑面积不小于1001平方米),b4地块≤2.9</t>
  </si>
  <si>
    <t>2016-07-22</t>
  </si>
  <si>
    <t>2016-08-11</t>
  </si>
  <si>
    <t>2016-08-24</t>
  </si>
  <si>
    <t>已成交</t>
  </si>
  <si>
    <t>天津融创元浩置业有限公司</t>
  </si>
  <si>
    <t>城镇住宅70年、商服40年</t>
  </si>
  <si>
    <t>东丽区津滨大道与雪山路交口东北侧</t>
  </si>
  <si>
    <t>津东丽津(挂)2017-015号</t>
  </si>
  <si>
    <t>城镇住宅、商服</t>
  </si>
  <si>
    <t>c1≤1.7;c2≤2.9</t>
  </si>
  <si>
    <t>C1用地内含商业服务网点建筑面积不小于900平方米;C2用地内含商业服务网点建筑面积不小于900平方米;</t>
  </si>
  <si>
    <t>2017-06-22</t>
  </si>
  <si>
    <t>2017-07-12</t>
  </si>
  <si>
    <t>2017-07-21</t>
  </si>
  <si>
    <t>金茂</t>
  </si>
  <si>
    <t>东丽区津滨大道与沙柳路交口东北侧</t>
  </si>
  <si>
    <t>津东丽津(挂)2016-105号</t>
  </si>
  <si>
    <t>b1地块≤2.0(含商业服务网点建筑面积不小于900平方米),b3地块≤4.0</t>
  </si>
  <si>
    <t>河东区六纬路西侧</t>
  </si>
  <si>
    <t>2016-03-10</t>
  </si>
  <si>
    <t>北京津辉置业有限公司</t>
  </si>
  <si>
    <t>建设用地面积(㎡)</t>
    <phoneticPr fontId="233" type="noConversion"/>
  </si>
  <si>
    <t>高层住宅</t>
    <phoneticPr fontId="14" type="noConversion"/>
  </si>
  <si>
    <t>南地块</t>
    <phoneticPr fontId="3" type="noConversion"/>
  </si>
  <si>
    <t>北地块</t>
    <phoneticPr fontId="3" type="noConversion"/>
  </si>
  <si>
    <t>中地块</t>
    <phoneticPr fontId="3" type="noConversion"/>
  </si>
  <si>
    <t>幼儿园</t>
    <phoneticPr fontId="3" type="noConversion"/>
  </si>
  <si>
    <t>独立商业</t>
  </si>
  <si>
    <t>办公楼</t>
  </si>
  <si>
    <t>标准厂房</t>
  </si>
  <si>
    <t>地下</t>
  </si>
  <si>
    <t>高层住宅</t>
    <phoneticPr fontId="7" type="noConversion"/>
  </si>
  <si>
    <t>洋房</t>
    <phoneticPr fontId="7" type="noConversion"/>
  </si>
  <si>
    <t>底商</t>
    <phoneticPr fontId="7" type="noConversion"/>
  </si>
  <si>
    <t>办公楼</t>
    <phoneticPr fontId="7" type="noConversion"/>
  </si>
  <si>
    <t>独立商业</t>
    <phoneticPr fontId="7" type="noConversion"/>
  </si>
  <si>
    <t>车库</t>
    <phoneticPr fontId="7" type="noConversion"/>
  </si>
  <si>
    <t>住宅、商业、综合</t>
  </si>
  <si>
    <t>估价对象周边居住用地比例较高、居住小区规模和社区发展完善程度较好，有丰盛园、长城公寓、天津公馆等项目，综合评价居住社区成熟度较好</t>
    <phoneticPr fontId="3" type="noConversion"/>
  </si>
  <si>
    <t>估价对象周边1公里有92、840路等公交车及地铁1、9号线经过，公共交通通达情况较好、停车便捷程度较好，综合评价交通便捷度较好</t>
    <phoneticPr fontId="3" type="noConversion"/>
  </si>
  <si>
    <t>估价对象所在区域公共配套设施齐备情况一般</t>
    <phoneticPr fontId="3" type="noConversion"/>
  </si>
  <si>
    <t>城市次干道——海河东路</t>
    <phoneticPr fontId="3" type="noConversion"/>
  </si>
  <si>
    <t>周边有万宁月花园、嘉春园、金地紫云庭等多个项目，居住社区成熟度较好</t>
    <phoneticPr fontId="26" type="noConversion"/>
  </si>
  <si>
    <t>周边有金地国际广场等项目，商业繁华度一般</t>
    <phoneticPr fontId="26" type="noConversion"/>
  </si>
  <si>
    <r>
      <rPr>
        <sz val="11"/>
        <rFont val="宋体"/>
        <family val="3"/>
        <charset val="134"/>
      </rPr>
      <t>估价对象周边</t>
    </r>
    <r>
      <rPr>
        <sz val="11"/>
        <rFont val="Arial"/>
        <family val="2"/>
      </rPr>
      <t>1</t>
    </r>
    <r>
      <rPr>
        <sz val="11"/>
        <rFont val="宋体"/>
        <family val="3"/>
        <charset val="134"/>
      </rPr>
      <t>公里有</t>
    </r>
    <r>
      <rPr>
        <sz val="11"/>
        <rFont val="Arial"/>
        <family val="2"/>
      </rPr>
      <t>30</t>
    </r>
    <r>
      <rPr>
        <sz val="11"/>
        <rFont val="宋体"/>
        <family val="3"/>
        <charset val="134"/>
      </rPr>
      <t>、</t>
    </r>
    <r>
      <rPr>
        <sz val="11"/>
        <rFont val="Arial"/>
        <family val="2"/>
      </rPr>
      <t>185</t>
    </r>
    <r>
      <rPr>
        <sz val="11"/>
        <rFont val="宋体"/>
        <family val="3"/>
        <charset val="134"/>
      </rPr>
      <t>、</t>
    </r>
    <r>
      <rPr>
        <sz val="11"/>
        <rFont val="Arial"/>
        <family val="2"/>
      </rPr>
      <t>706</t>
    </r>
    <r>
      <rPr>
        <sz val="11"/>
        <rFont val="宋体"/>
        <family val="3"/>
        <charset val="134"/>
      </rPr>
      <t>路等多路公交车及地铁</t>
    </r>
    <r>
      <rPr>
        <sz val="11"/>
        <rFont val="Arial"/>
        <family val="2"/>
      </rPr>
      <t>9</t>
    </r>
    <r>
      <rPr>
        <sz val="11"/>
        <rFont val="宋体"/>
        <family val="3"/>
        <charset val="134"/>
      </rPr>
      <t>号线经过，公共交通通达情况较好、停车便捷程度较好，综合评价交通便捷度较好</t>
    </r>
    <phoneticPr fontId="26" type="noConversion"/>
  </si>
  <si>
    <t>七通</t>
  </si>
  <si>
    <t>较规则</t>
  </si>
  <si>
    <t>不动产收益法底商</t>
  </si>
  <si>
    <t>不动产收益法办公</t>
  </si>
  <si>
    <t>不动产收益法办公</t>
    <phoneticPr fontId="14" type="noConversion"/>
  </si>
  <si>
    <t>不动产收益法独商</t>
  </si>
  <si>
    <t>不动产收益法独商</t>
    <phoneticPr fontId="14" type="noConversion"/>
  </si>
  <si>
    <t>不动产收益法厂</t>
  </si>
  <si>
    <t>不动产收益法车</t>
  </si>
  <si>
    <t>不动产收益法车</t>
    <phoneticPr fontId="14" type="noConversion"/>
  </si>
  <si>
    <t>不动产收益法厂</t>
    <phoneticPr fontId="14" type="noConversion"/>
  </si>
  <si>
    <t>金茂府</t>
    <phoneticPr fontId="3" type="noConversion"/>
  </si>
  <si>
    <t>汤臣津湾一品</t>
    <phoneticPr fontId="3" type="noConversion"/>
  </si>
  <si>
    <t>周边有融景华庭、雅颂居、惠森花园等多个项目，居住社区成熟度较好</t>
    <phoneticPr fontId="26" type="noConversion"/>
  </si>
  <si>
    <t>富豪新开门</t>
    <phoneticPr fontId="3" type="noConversion"/>
  </si>
  <si>
    <r>
      <rPr>
        <sz val="11"/>
        <rFont val="宋体"/>
        <family val="3"/>
        <charset val="134"/>
      </rPr>
      <t>周边</t>
    </r>
    <r>
      <rPr>
        <sz val="11"/>
        <rFont val="Arial"/>
        <family val="2"/>
      </rPr>
      <t>1</t>
    </r>
    <r>
      <rPr>
        <sz val="11"/>
        <rFont val="宋体"/>
        <family val="3"/>
        <charset val="134"/>
      </rPr>
      <t>公里有</t>
    </r>
    <r>
      <rPr>
        <sz val="11"/>
        <rFont val="Arial"/>
        <family val="2"/>
      </rPr>
      <t>92</t>
    </r>
    <r>
      <rPr>
        <sz val="11"/>
        <rFont val="宋体"/>
        <family val="3"/>
        <charset val="134"/>
      </rPr>
      <t>、</t>
    </r>
    <r>
      <rPr>
        <sz val="11"/>
        <rFont val="Arial"/>
        <family val="2"/>
      </rPr>
      <t>840</t>
    </r>
    <r>
      <rPr>
        <sz val="11"/>
        <rFont val="宋体"/>
        <family val="3"/>
        <charset val="134"/>
      </rPr>
      <t>路等公交车及地铁</t>
    </r>
    <r>
      <rPr>
        <sz val="11"/>
        <rFont val="Arial"/>
        <family val="2"/>
      </rPr>
      <t>2</t>
    </r>
    <r>
      <rPr>
        <sz val="11"/>
        <rFont val="宋体"/>
        <family val="3"/>
        <charset val="134"/>
      </rPr>
      <t>、</t>
    </r>
    <r>
      <rPr>
        <sz val="11"/>
        <rFont val="Arial"/>
        <family val="2"/>
      </rPr>
      <t>9</t>
    </r>
    <r>
      <rPr>
        <sz val="11"/>
        <rFont val="宋体"/>
        <family val="3"/>
        <charset val="134"/>
      </rPr>
      <t>号线经过，公共交通通达情况较好、停车便捷程度较好，综合评价交通便捷度较好</t>
    </r>
    <phoneticPr fontId="21" type="noConversion"/>
  </si>
  <si>
    <t>周边有嘉华小区、欣荣馨苑、翰林苑等多个项目，居住社区成熟度较好</t>
    <phoneticPr fontId="26" type="noConversion"/>
  </si>
  <si>
    <t>北大资源阅城</t>
    <phoneticPr fontId="21" type="noConversion"/>
  </si>
  <si>
    <t>周边有美塘佳苑、中海复兴九里、天房美棠等多个项目，居住社区成熟度较好</t>
    <phoneticPr fontId="26" type="noConversion"/>
  </si>
  <si>
    <r>
      <rPr>
        <sz val="11"/>
        <rFont val="宋体"/>
        <family val="3"/>
        <charset val="134"/>
      </rPr>
      <t>周边</t>
    </r>
    <r>
      <rPr>
        <sz val="11"/>
        <rFont val="Arial"/>
        <family val="2"/>
      </rPr>
      <t>1</t>
    </r>
    <r>
      <rPr>
        <sz val="11"/>
        <rFont val="宋体"/>
        <family val="3"/>
        <charset val="134"/>
      </rPr>
      <t>公里有</t>
    </r>
    <r>
      <rPr>
        <sz val="11"/>
        <rFont val="Arial"/>
        <family val="2"/>
      </rPr>
      <t>13</t>
    </r>
    <r>
      <rPr>
        <sz val="11"/>
        <rFont val="宋体"/>
        <family val="3"/>
        <charset val="134"/>
      </rPr>
      <t>、</t>
    </r>
    <r>
      <rPr>
        <sz val="11"/>
        <rFont val="Arial"/>
        <family val="2"/>
      </rPr>
      <t>92</t>
    </r>
    <r>
      <rPr>
        <sz val="11"/>
        <rFont val="宋体"/>
        <family val="3"/>
        <charset val="134"/>
      </rPr>
      <t>、</t>
    </r>
    <r>
      <rPr>
        <sz val="11"/>
        <rFont val="Arial"/>
        <family val="2"/>
      </rPr>
      <t>186</t>
    </r>
    <r>
      <rPr>
        <sz val="11"/>
        <rFont val="宋体"/>
        <family val="3"/>
        <charset val="134"/>
      </rPr>
      <t>路等公交车及地铁</t>
    </r>
    <r>
      <rPr>
        <sz val="11"/>
        <rFont val="Arial"/>
        <family val="2"/>
      </rPr>
      <t>1</t>
    </r>
    <r>
      <rPr>
        <sz val="11"/>
        <rFont val="宋体"/>
        <family val="3"/>
        <charset val="134"/>
      </rPr>
      <t>、</t>
    </r>
    <r>
      <rPr>
        <sz val="11"/>
        <rFont val="Arial"/>
        <family val="2"/>
      </rPr>
      <t>9</t>
    </r>
    <r>
      <rPr>
        <sz val="11"/>
        <rFont val="宋体"/>
        <family val="3"/>
        <charset val="134"/>
      </rPr>
      <t>号线经过，公共交通通达情况较好、停车便捷程度较好，综合评价交通便捷度好</t>
    </r>
    <phoneticPr fontId="21" type="noConversion"/>
  </si>
  <si>
    <t>好</t>
  </si>
  <si>
    <r>
      <rPr>
        <sz val="11"/>
        <rFont val="宋体"/>
        <family val="3"/>
        <charset val="134"/>
      </rPr>
      <t>周边</t>
    </r>
    <r>
      <rPr>
        <sz val="11"/>
        <rFont val="Arial"/>
        <family val="2"/>
      </rPr>
      <t>1</t>
    </r>
    <r>
      <rPr>
        <sz val="11"/>
        <rFont val="宋体"/>
        <family val="3"/>
        <charset val="134"/>
      </rPr>
      <t>公里有</t>
    </r>
    <r>
      <rPr>
        <sz val="11"/>
        <rFont val="Arial"/>
        <family val="2"/>
      </rPr>
      <t>655</t>
    </r>
    <r>
      <rPr>
        <sz val="11"/>
        <rFont val="宋体"/>
        <family val="3"/>
        <charset val="134"/>
      </rPr>
      <t>、</t>
    </r>
    <r>
      <rPr>
        <sz val="11"/>
        <rFont val="Arial"/>
        <family val="2"/>
      </rPr>
      <t>686</t>
    </r>
    <r>
      <rPr>
        <sz val="11"/>
        <rFont val="宋体"/>
        <family val="3"/>
        <charset val="134"/>
      </rPr>
      <t>、</t>
    </r>
    <r>
      <rPr>
        <sz val="11"/>
        <rFont val="Arial"/>
        <family val="2"/>
      </rPr>
      <t>800</t>
    </r>
    <r>
      <rPr>
        <sz val="11"/>
        <rFont val="宋体"/>
        <family val="3"/>
        <charset val="134"/>
      </rPr>
      <t>路等公交车及地铁</t>
    </r>
    <r>
      <rPr>
        <sz val="11"/>
        <rFont val="Arial"/>
        <family val="2"/>
      </rPr>
      <t>9</t>
    </r>
    <r>
      <rPr>
        <sz val="11"/>
        <rFont val="宋体"/>
        <family val="3"/>
        <charset val="134"/>
      </rPr>
      <t>号线经过，公共交通通达情况较好、停车便捷程度较好，综合评价交通便捷度较好</t>
    </r>
    <phoneticPr fontId="21" type="noConversion"/>
  </si>
  <si>
    <t>洋房</t>
    <phoneticPr fontId="21" type="noConversion"/>
  </si>
  <si>
    <r>
      <t>70</t>
    </r>
    <r>
      <rPr>
        <sz val="11"/>
        <color rgb="FFFF0000"/>
        <rFont val="宋体"/>
        <family val="3"/>
        <charset val="134"/>
      </rPr>
      <t>年、</t>
    </r>
    <r>
      <rPr>
        <sz val="11"/>
        <color rgb="FFFF0000"/>
        <rFont val="Arial"/>
        <family val="2"/>
      </rPr>
      <t>40</t>
    </r>
    <r>
      <rPr>
        <sz val="11"/>
        <color rgb="FFFF0000"/>
        <rFont val="宋体"/>
        <family val="3"/>
        <charset val="134"/>
      </rPr>
      <t>年、</t>
    </r>
    <r>
      <rPr>
        <sz val="11"/>
        <color rgb="FFFF0000"/>
        <rFont val="Arial"/>
        <family val="2"/>
      </rPr>
      <t>50</t>
    </r>
    <r>
      <rPr>
        <sz val="11"/>
        <color rgb="FFFF0000"/>
        <rFont val="宋体"/>
        <family val="3"/>
        <charset val="134"/>
      </rPr>
      <t>年</t>
    </r>
    <phoneticPr fontId="26" type="noConversion"/>
  </si>
  <si>
    <t>自定义</t>
  </si>
  <si>
    <t>周边商务办公氛围一般较好，有金地国际广场、瀛科大厦、金地写字楼等多个写字楼项目，办公集聚程度较好</t>
    <phoneticPr fontId="26" type="noConversion"/>
  </si>
  <si>
    <t>分类</t>
  </si>
  <si>
    <t>用途</t>
  </si>
  <si>
    <r>
      <t>建筑面积（</t>
    </r>
    <r>
      <rPr>
        <b/>
        <sz val="12"/>
        <color rgb="FF000000"/>
        <rFont val="Arial"/>
        <family val="2"/>
      </rPr>
      <t>m</t>
    </r>
    <r>
      <rPr>
        <b/>
        <vertAlign val="superscript"/>
        <sz val="12"/>
        <color rgb="FF000000"/>
        <rFont val="Arial"/>
        <family val="2"/>
      </rPr>
      <t>2</t>
    </r>
    <r>
      <rPr>
        <b/>
        <sz val="12"/>
        <color rgb="FF000000"/>
        <rFont val="仿宋_GB2312"/>
        <family val="3"/>
        <charset val="134"/>
      </rPr>
      <t>）</t>
    </r>
  </si>
  <si>
    <t>经营性用房</t>
  </si>
  <si>
    <t>非经营性用房</t>
  </si>
  <si>
    <t>设备用房</t>
  </si>
  <si>
    <t>公共服务配套</t>
  </si>
  <si>
    <t>多层住宅</t>
    <phoneticPr fontId="7" type="noConversion"/>
  </si>
  <si>
    <t>住宅底商</t>
    <phoneticPr fontId="7" type="noConversion"/>
  </si>
  <si>
    <t>独立商业</t>
    <phoneticPr fontId="7" type="noConversion"/>
  </si>
  <si>
    <t>地下车库</t>
    <phoneticPr fontId="7" type="noConversion"/>
  </si>
  <si>
    <t>办公用房</t>
    <phoneticPr fontId="7" type="noConversion"/>
  </si>
  <si>
    <t>东丽区津滨大道与雪山路交口西北侧</t>
    <phoneticPr fontId="233" type="noConversion"/>
  </si>
  <si>
    <t>周边有万宁月花园、嘉春园、金地紫云庭等多个项目，居住社区成熟度较好</t>
    <phoneticPr fontId="26" type="noConversion"/>
  </si>
  <si>
    <r>
      <rPr>
        <sz val="11"/>
        <rFont val="宋体"/>
        <family val="3"/>
        <charset val="134"/>
      </rPr>
      <t>估价对象周边</t>
    </r>
    <r>
      <rPr>
        <sz val="11"/>
        <rFont val="Arial"/>
        <family val="2"/>
      </rPr>
      <t>1</t>
    </r>
    <r>
      <rPr>
        <sz val="11"/>
        <rFont val="宋体"/>
        <family val="3"/>
        <charset val="134"/>
      </rPr>
      <t>公里有</t>
    </r>
    <r>
      <rPr>
        <sz val="11"/>
        <rFont val="Arial"/>
        <family val="2"/>
      </rPr>
      <t>30</t>
    </r>
    <r>
      <rPr>
        <sz val="11"/>
        <rFont val="宋体"/>
        <family val="3"/>
        <charset val="134"/>
      </rPr>
      <t>、</t>
    </r>
    <r>
      <rPr>
        <sz val="11"/>
        <rFont val="Arial"/>
        <family val="2"/>
      </rPr>
      <t>185</t>
    </r>
    <r>
      <rPr>
        <sz val="11"/>
        <rFont val="宋体"/>
        <family val="3"/>
        <charset val="134"/>
      </rPr>
      <t>、</t>
    </r>
    <r>
      <rPr>
        <sz val="11"/>
        <rFont val="Arial"/>
        <family val="2"/>
      </rPr>
      <t>706</t>
    </r>
    <r>
      <rPr>
        <sz val="11"/>
        <rFont val="宋体"/>
        <family val="3"/>
        <charset val="134"/>
      </rPr>
      <t>路等多路公交车及地铁</t>
    </r>
    <r>
      <rPr>
        <sz val="11"/>
        <rFont val="Arial"/>
        <family val="2"/>
      </rPr>
      <t>9</t>
    </r>
    <r>
      <rPr>
        <sz val="11"/>
        <rFont val="宋体"/>
        <family val="3"/>
        <charset val="134"/>
      </rPr>
      <t>号线经过，公共交通通达情况较好、停车便捷程度较好，综合评价交通便捷度较好</t>
    </r>
    <phoneticPr fontId="26" type="noConversion"/>
  </si>
  <si>
    <r>
      <t>周边2公里内</t>
    </r>
    <r>
      <rPr>
        <sz val="11"/>
        <color indexed="8"/>
        <rFont val="仿宋_GB2312"/>
        <family val="3"/>
        <charset val="134"/>
      </rPr>
      <t>区域自然环境较好</t>
    </r>
    <phoneticPr fontId="3" type="noConversion"/>
  </si>
  <si>
    <t>东丽区津滨大道与雪山路交口东北侧</t>
    <phoneticPr fontId="233" type="noConversion"/>
  </si>
  <si>
    <t>东丽区津滨大道与沙柳路交口东北侧</t>
    <phoneticPr fontId="233" type="noConversion"/>
  </si>
  <si>
    <t>主干道</t>
  </si>
  <si>
    <r>
      <rPr>
        <sz val="11"/>
        <rFont val="宋体"/>
        <family val="3"/>
        <charset val="134"/>
      </rPr>
      <t>主干道</t>
    </r>
    <r>
      <rPr>
        <sz val="11"/>
        <rFont val="Arial"/>
        <family val="2"/>
      </rPr>
      <t>-</t>
    </r>
    <r>
      <rPr>
        <sz val="11"/>
        <rFont val="宋体"/>
        <family val="3"/>
        <charset val="134"/>
      </rPr>
      <t>津滨大道</t>
    </r>
    <phoneticPr fontId="26" type="noConversion"/>
  </si>
  <si>
    <t>较差</t>
  </si>
  <si>
    <r>
      <t>2015</t>
    </r>
    <r>
      <rPr>
        <sz val="10.5"/>
        <color rgb="FF000000"/>
        <rFont val="仿宋_GB2312"/>
        <family val="3"/>
        <charset val="134"/>
      </rPr>
      <t>年</t>
    </r>
    <r>
      <rPr>
        <sz val="10.5"/>
        <color rgb="FF000000"/>
        <rFont val="Arial"/>
        <family val="2"/>
      </rPr>
      <t>1</t>
    </r>
    <r>
      <rPr>
        <sz val="10.5"/>
        <color rgb="FF000000"/>
        <rFont val="仿宋_GB2312"/>
        <family val="3"/>
        <charset val="134"/>
      </rPr>
      <t>季度至</t>
    </r>
    <r>
      <rPr>
        <sz val="10.5"/>
        <color rgb="FF000000"/>
        <rFont val="Arial"/>
        <family val="2"/>
      </rPr>
      <t>2017</t>
    </r>
    <r>
      <rPr>
        <sz val="10.5"/>
        <color rgb="FF000000"/>
        <rFont val="仿宋_GB2312"/>
        <family val="3"/>
        <charset val="134"/>
      </rPr>
      <t>年</t>
    </r>
    <r>
      <rPr>
        <sz val="10.5"/>
        <color rgb="FF000000"/>
        <rFont val="Arial"/>
        <family val="2"/>
      </rPr>
      <t>2</t>
    </r>
    <r>
      <rPr>
        <sz val="10.5"/>
        <color rgb="FF000000"/>
        <rFont val="仿宋_GB2312"/>
        <family val="3"/>
        <charset val="134"/>
      </rPr>
      <t>季度北京市地价增长率（住宅）一览表</t>
    </r>
  </si>
  <si>
    <t>年度</t>
  </si>
  <si>
    <r>
      <t>1</t>
    </r>
    <r>
      <rPr>
        <sz val="10.5"/>
        <color rgb="FF000000"/>
        <rFont val="仿宋_GB2312"/>
        <family val="3"/>
        <charset val="134"/>
      </rPr>
      <t>季度</t>
    </r>
  </si>
  <si>
    <r>
      <t>2</t>
    </r>
    <r>
      <rPr>
        <sz val="10.5"/>
        <color rgb="FF000000"/>
        <rFont val="仿宋_GB2312"/>
        <family val="3"/>
        <charset val="134"/>
      </rPr>
      <t>季度</t>
    </r>
  </si>
  <si>
    <r>
      <t>3</t>
    </r>
    <r>
      <rPr>
        <sz val="10.5"/>
        <color rgb="FF000000"/>
        <rFont val="仿宋_GB2312"/>
        <family val="3"/>
        <charset val="134"/>
      </rPr>
      <t>季度</t>
    </r>
  </si>
  <si>
    <r>
      <t>4</t>
    </r>
    <r>
      <rPr>
        <sz val="10.5"/>
        <color rgb="FF000000"/>
        <rFont val="仿宋_GB2312"/>
        <family val="3"/>
        <charset val="134"/>
      </rPr>
      <t>季度</t>
    </r>
  </si>
  <si>
    <t>北大资源阅城</t>
    <phoneticPr fontId="21" type="noConversion"/>
  </si>
  <si>
    <t>周边有美塘佳苑、中海复兴九里、天房美棠等多个项目，居住社区成熟度较好</t>
    <phoneticPr fontId="26" type="noConversion"/>
  </si>
  <si>
    <r>
      <rPr>
        <sz val="11"/>
        <rFont val="宋体"/>
        <family val="3"/>
        <charset val="134"/>
      </rPr>
      <t>周边</t>
    </r>
    <r>
      <rPr>
        <sz val="11"/>
        <rFont val="Arial"/>
        <family val="2"/>
      </rPr>
      <t>1</t>
    </r>
    <r>
      <rPr>
        <sz val="11"/>
        <rFont val="宋体"/>
        <family val="3"/>
        <charset val="134"/>
      </rPr>
      <t>公里有</t>
    </r>
    <r>
      <rPr>
        <sz val="11"/>
        <rFont val="Arial"/>
        <family val="2"/>
      </rPr>
      <t>655</t>
    </r>
    <r>
      <rPr>
        <sz val="11"/>
        <rFont val="宋体"/>
        <family val="3"/>
        <charset val="134"/>
      </rPr>
      <t>、</t>
    </r>
    <r>
      <rPr>
        <sz val="11"/>
        <rFont val="Arial"/>
        <family val="2"/>
      </rPr>
      <t>686</t>
    </r>
    <r>
      <rPr>
        <sz val="11"/>
        <rFont val="宋体"/>
        <family val="3"/>
        <charset val="134"/>
      </rPr>
      <t>、</t>
    </r>
    <r>
      <rPr>
        <sz val="11"/>
        <rFont val="Arial"/>
        <family val="2"/>
      </rPr>
      <t>800</t>
    </r>
    <r>
      <rPr>
        <sz val="11"/>
        <rFont val="宋体"/>
        <family val="3"/>
        <charset val="134"/>
      </rPr>
      <t>路等公交车及地铁</t>
    </r>
    <r>
      <rPr>
        <sz val="11"/>
        <rFont val="Arial"/>
        <family val="2"/>
      </rPr>
      <t>9</t>
    </r>
    <r>
      <rPr>
        <sz val="11"/>
        <rFont val="宋体"/>
        <family val="3"/>
        <charset val="134"/>
      </rPr>
      <t>号线经过，公共交通通达情况较好、停车便捷程度较好，综合评价交通便捷度较好</t>
    </r>
    <phoneticPr fontId="21" type="noConversion"/>
  </si>
  <si>
    <t>周边有嘉华小区、欣荣馨苑、翰林苑等多个项目，居住社区成熟度较好</t>
    <phoneticPr fontId="26" type="noConversion"/>
  </si>
  <si>
    <r>
      <rPr>
        <sz val="11"/>
        <rFont val="宋体"/>
        <family val="3"/>
        <charset val="134"/>
      </rPr>
      <t>周边</t>
    </r>
    <r>
      <rPr>
        <sz val="11"/>
        <rFont val="Arial"/>
        <family val="2"/>
      </rPr>
      <t>1</t>
    </r>
    <r>
      <rPr>
        <sz val="11"/>
        <rFont val="宋体"/>
        <family val="3"/>
        <charset val="134"/>
      </rPr>
      <t>公里有</t>
    </r>
    <r>
      <rPr>
        <sz val="11"/>
        <rFont val="Arial"/>
        <family val="2"/>
      </rPr>
      <t>92</t>
    </r>
    <r>
      <rPr>
        <sz val="11"/>
        <rFont val="宋体"/>
        <family val="3"/>
        <charset val="134"/>
      </rPr>
      <t>、</t>
    </r>
    <r>
      <rPr>
        <sz val="11"/>
        <rFont val="Arial"/>
        <family val="2"/>
      </rPr>
      <t>840</t>
    </r>
    <r>
      <rPr>
        <sz val="11"/>
        <rFont val="宋体"/>
        <family val="3"/>
        <charset val="134"/>
      </rPr>
      <t>路等公交车及地铁</t>
    </r>
    <r>
      <rPr>
        <sz val="11"/>
        <rFont val="Arial"/>
        <family val="2"/>
      </rPr>
      <t>2</t>
    </r>
    <r>
      <rPr>
        <sz val="11"/>
        <rFont val="宋体"/>
        <family val="3"/>
        <charset val="134"/>
      </rPr>
      <t>、</t>
    </r>
    <r>
      <rPr>
        <sz val="11"/>
        <rFont val="Arial"/>
        <family val="2"/>
      </rPr>
      <t>9</t>
    </r>
    <r>
      <rPr>
        <sz val="11"/>
        <rFont val="宋体"/>
        <family val="3"/>
        <charset val="134"/>
      </rPr>
      <t>号线经过，公共交通通达情况较好、停车便捷程度较好，综合评价交通便捷度较好</t>
    </r>
    <phoneticPr fontId="21" type="noConversion"/>
  </si>
  <si>
    <t>周边有融景华庭、雅颂居、惠森花园等多个项目，居住社区成熟度较好</t>
    <phoneticPr fontId="26" type="noConversion"/>
  </si>
  <si>
    <r>
      <rPr>
        <sz val="11"/>
        <rFont val="宋体"/>
        <family val="3"/>
        <charset val="134"/>
      </rPr>
      <t>周边</t>
    </r>
    <r>
      <rPr>
        <sz val="11"/>
        <rFont val="Arial"/>
        <family val="2"/>
      </rPr>
      <t>1</t>
    </r>
    <r>
      <rPr>
        <sz val="11"/>
        <rFont val="宋体"/>
        <family val="3"/>
        <charset val="134"/>
      </rPr>
      <t>公里有</t>
    </r>
    <r>
      <rPr>
        <sz val="11"/>
        <rFont val="Arial"/>
        <family val="2"/>
      </rPr>
      <t>13</t>
    </r>
    <r>
      <rPr>
        <sz val="11"/>
        <rFont val="宋体"/>
        <family val="3"/>
        <charset val="134"/>
      </rPr>
      <t>、</t>
    </r>
    <r>
      <rPr>
        <sz val="11"/>
        <rFont val="Arial"/>
        <family val="2"/>
      </rPr>
      <t>92</t>
    </r>
    <r>
      <rPr>
        <sz val="11"/>
        <rFont val="宋体"/>
        <family val="3"/>
        <charset val="134"/>
      </rPr>
      <t>、</t>
    </r>
    <r>
      <rPr>
        <sz val="11"/>
        <rFont val="Arial"/>
        <family val="2"/>
      </rPr>
      <t>186</t>
    </r>
    <r>
      <rPr>
        <sz val="11"/>
        <rFont val="宋体"/>
        <family val="3"/>
        <charset val="134"/>
      </rPr>
      <t>路等公交车及地铁</t>
    </r>
    <r>
      <rPr>
        <sz val="11"/>
        <rFont val="Arial"/>
        <family val="2"/>
      </rPr>
      <t>1</t>
    </r>
    <r>
      <rPr>
        <sz val="11"/>
        <rFont val="宋体"/>
        <family val="3"/>
        <charset val="134"/>
      </rPr>
      <t>、</t>
    </r>
    <r>
      <rPr>
        <sz val="11"/>
        <rFont val="Arial"/>
        <family val="2"/>
      </rPr>
      <t>9</t>
    </r>
    <r>
      <rPr>
        <sz val="11"/>
        <rFont val="宋体"/>
        <family val="3"/>
        <charset val="134"/>
      </rPr>
      <t>号线经过，公共交通通达情况较好、停车便捷程度较好，综合评价交通便捷度好</t>
    </r>
    <phoneticPr fontId="21" type="noConversion"/>
  </si>
  <si>
    <t>汤臣津湾一品</t>
    <phoneticPr fontId="3" type="noConversion"/>
  </si>
  <si>
    <t>富豪新开门</t>
    <phoneticPr fontId="3" type="noConversion"/>
  </si>
  <si>
    <t>估价对象周边商业氛围成熟度一般，人流量一般，有河东商城等项目，商业繁华度一般</t>
    <phoneticPr fontId="3" type="noConversion"/>
  </si>
  <si>
    <t>估价对象周边商务办公氛围较好，有泰达大厦、金皇大厦、万通中心等多个写字楼项目，办公集聚程度较好</t>
    <phoneticPr fontId="3" type="noConversion"/>
  </si>
  <si>
    <t>建设内容</t>
  </si>
  <si>
    <t>规划建筑面积</t>
  </si>
  <si>
    <t>公共服务</t>
  </si>
  <si>
    <t>配套</t>
  </si>
  <si>
    <t>多层住宅</t>
    <phoneticPr fontId="233" type="noConversion"/>
  </si>
  <si>
    <t>住宅底商</t>
    <phoneticPr fontId="233" type="noConversion"/>
  </si>
  <si>
    <t>独立商业</t>
    <phoneticPr fontId="233" type="noConversion"/>
  </si>
  <si>
    <t>科教办公</t>
    <phoneticPr fontId="233" type="noConversion"/>
  </si>
  <si>
    <t>小计</t>
    <phoneticPr fontId="233" type="noConversion"/>
  </si>
  <si>
    <t>规划建筑面积（平方米）</t>
  </si>
  <si>
    <t>多层住宅</t>
  </si>
  <si>
    <t>住宅底商</t>
  </si>
  <si>
    <t>科教办公</t>
  </si>
  <si>
    <t>6#</t>
  </si>
  <si>
    <t>7#</t>
  </si>
  <si>
    <t>3#</t>
  </si>
  <si>
    <r>
      <t>配建</t>
    </r>
    <r>
      <rPr>
        <sz val="9"/>
        <color rgb="FF000000"/>
        <rFont val="Arial"/>
        <family val="2"/>
      </rPr>
      <t>1</t>
    </r>
    <r>
      <rPr>
        <sz val="9"/>
        <color rgb="FF000000"/>
        <rFont val="仿宋_GB2312"/>
        <family val="3"/>
        <charset val="134"/>
      </rPr>
      <t>号</t>
    </r>
  </si>
  <si>
    <t>2#</t>
  </si>
  <si>
    <t>1#</t>
  </si>
  <si>
    <t>5#</t>
  </si>
  <si>
    <t>燃气调压站</t>
  </si>
  <si>
    <t>4#</t>
  </si>
  <si>
    <t>北地块</t>
  </si>
  <si>
    <t>中地块</t>
  </si>
  <si>
    <t>南地块</t>
    <phoneticPr fontId="233" type="noConversion"/>
  </si>
  <si>
    <t>地号</t>
  </si>
  <si>
    <t>土地使用证编号</t>
  </si>
  <si>
    <r>
      <t>剩余土地使用年限</t>
    </r>
    <r>
      <rPr>
        <sz val="9"/>
        <color theme="1"/>
        <rFont val="Arial"/>
        <family val="2"/>
      </rPr>
      <t>/</t>
    </r>
    <r>
      <rPr>
        <sz val="9"/>
        <color theme="1"/>
        <rFont val="仿宋_GB2312"/>
        <family val="3"/>
        <charset val="134"/>
      </rPr>
      <t>年</t>
    </r>
  </si>
  <si>
    <r>
      <t>规划建筑面积</t>
    </r>
    <r>
      <rPr>
        <sz val="9"/>
        <color theme="1"/>
        <rFont val="Arial"/>
        <family val="2"/>
      </rPr>
      <t>/</t>
    </r>
    <r>
      <rPr>
        <sz val="9"/>
        <color theme="1"/>
        <rFont val="宋体"/>
        <family val="3"/>
        <charset val="134"/>
      </rPr>
      <t>㎡</t>
    </r>
  </si>
  <si>
    <r>
      <t>单位面积地价</t>
    </r>
    <r>
      <rPr>
        <sz val="9"/>
        <color theme="1"/>
        <rFont val="Arial"/>
        <family val="2"/>
      </rPr>
      <t>/</t>
    </r>
  </si>
  <si>
    <r>
      <t>元</t>
    </r>
    <r>
      <rPr>
        <sz val="9"/>
        <color theme="1"/>
        <rFont val="Arial"/>
        <family val="2"/>
      </rPr>
      <t>/</t>
    </r>
    <r>
      <rPr>
        <sz val="9"/>
        <color theme="1"/>
        <rFont val="宋体"/>
        <family val="3"/>
        <charset val="134"/>
      </rPr>
      <t>㎡</t>
    </r>
  </si>
  <si>
    <r>
      <t>楼面地价</t>
    </r>
    <r>
      <rPr>
        <sz val="9"/>
        <color theme="1"/>
        <rFont val="Arial"/>
        <family val="2"/>
      </rPr>
      <t>/</t>
    </r>
    <r>
      <rPr>
        <sz val="9"/>
        <color theme="1"/>
        <rFont val="仿宋_GB2312"/>
        <family val="3"/>
        <charset val="134"/>
      </rPr>
      <t>元</t>
    </r>
    <r>
      <rPr>
        <sz val="9"/>
        <color theme="1"/>
        <rFont val="Arial"/>
        <family val="2"/>
      </rPr>
      <t>/</t>
    </r>
    <r>
      <rPr>
        <sz val="9"/>
        <color theme="1"/>
        <rFont val="宋体"/>
        <family val="3"/>
        <charset val="134"/>
      </rPr>
      <t>㎡</t>
    </r>
  </si>
  <si>
    <r>
      <t>总地价</t>
    </r>
    <r>
      <rPr>
        <sz val="9"/>
        <color theme="1"/>
        <rFont val="Arial"/>
        <family val="2"/>
      </rPr>
      <t>/</t>
    </r>
    <r>
      <rPr>
        <sz val="9"/>
        <color theme="1"/>
        <rFont val="仿宋_GB2312"/>
        <family val="3"/>
        <charset val="134"/>
      </rPr>
      <t>万元</t>
    </r>
  </si>
  <si>
    <t>证载</t>
  </si>
  <si>
    <t>实际</t>
  </si>
  <si>
    <t>现状规划</t>
  </si>
  <si>
    <t>天津津辉置业有限公司</t>
    <phoneticPr fontId="233" type="noConversion"/>
  </si>
  <si>
    <t>天津市河东区六纬路西侧（北地块）</t>
    <phoneticPr fontId="233" type="noConversion"/>
  </si>
  <si>
    <t>120105007003GB00163W00000000</t>
    <phoneticPr fontId="233" type="noConversion"/>
  </si>
  <si>
    <r>
      <rPr>
        <sz val="9"/>
        <color theme="1"/>
        <rFont val="宋体"/>
        <family val="3"/>
        <charset val="134"/>
      </rPr>
      <t>津（</t>
    </r>
    <r>
      <rPr>
        <sz val="9"/>
        <color theme="1"/>
        <rFont val="Arial"/>
        <family val="2"/>
      </rPr>
      <t>2017</t>
    </r>
    <r>
      <rPr>
        <sz val="9"/>
        <color theme="1"/>
        <rFont val="宋体"/>
        <family val="3"/>
        <charset val="134"/>
      </rPr>
      <t>）河东区不动产权第</t>
    </r>
    <r>
      <rPr>
        <sz val="9"/>
        <color theme="1"/>
        <rFont val="Arial"/>
        <family val="2"/>
      </rPr>
      <t>1022555</t>
    </r>
    <r>
      <rPr>
        <sz val="9"/>
        <color theme="1"/>
        <rFont val="宋体"/>
        <family val="3"/>
        <charset val="134"/>
      </rPr>
      <t>号</t>
    </r>
    <phoneticPr fontId="233" type="noConversion"/>
  </si>
  <si>
    <t>住宅、商服、科教</t>
    <phoneticPr fontId="233" type="noConversion"/>
  </si>
  <si>
    <t>120105007003GB00167W00000000</t>
    <phoneticPr fontId="233" type="noConversion"/>
  </si>
  <si>
    <t>天津市河东区六纬路西侧（南地块）</t>
    <phoneticPr fontId="233" type="noConversion"/>
  </si>
  <si>
    <t>天津市河东区十三经路南侧（中地块）</t>
    <phoneticPr fontId="233" type="noConversion"/>
  </si>
  <si>
    <t>120105007003GB00168W00000000</t>
    <phoneticPr fontId="233" type="noConversion"/>
  </si>
  <si>
    <r>
      <rPr>
        <sz val="9"/>
        <color theme="1"/>
        <rFont val="宋体"/>
        <family val="3"/>
        <charset val="134"/>
      </rPr>
      <t>津（</t>
    </r>
    <r>
      <rPr>
        <sz val="9"/>
        <color theme="1"/>
        <rFont val="Arial"/>
        <family val="2"/>
      </rPr>
      <t>2017</t>
    </r>
    <r>
      <rPr>
        <sz val="9"/>
        <color theme="1"/>
        <rFont val="宋体"/>
        <family val="3"/>
        <charset val="134"/>
      </rPr>
      <t>）河东区不动产权第</t>
    </r>
    <r>
      <rPr>
        <sz val="9"/>
        <color theme="1"/>
        <rFont val="Arial"/>
        <family val="2"/>
      </rPr>
      <t>1022557</t>
    </r>
    <r>
      <rPr>
        <sz val="9"/>
        <color theme="1"/>
        <rFont val="宋体"/>
        <family val="3"/>
        <charset val="134"/>
      </rPr>
      <t>号</t>
    </r>
    <phoneticPr fontId="233" type="noConversion"/>
  </si>
  <si>
    <r>
      <rPr>
        <sz val="9"/>
        <color theme="1"/>
        <rFont val="宋体"/>
        <family val="3"/>
        <charset val="134"/>
      </rPr>
      <t>津（</t>
    </r>
    <r>
      <rPr>
        <sz val="9"/>
        <color theme="1"/>
        <rFont val="Arial"/>
        <family val="2"/>
      </rPr>
      <t>2017</t>
    </r>
    <r>
      <rPr>
        <sz val="9"/>
        <color theme="1"/>
        <rFont val="宋体"/>
        <family val="3"/>
        <charset val="134"/>
      </rPr>
      <t>）河东区不动产权第</t>
    </r>
    <r>
      <rPr>
        <sz val="9"/>
        <color theme="1"/>
        <rFont val="Arial"/>
        <family val="2"/>
      </rPr>
      <t>1022556</t>
    </r>
    <r>
      <rPr>
        <sz val="9"/>
        <color theme="1"/>
        <rFont val="宋体"/>
        <family val="3"/>
        <charset val="134"/>
      </rPr>
      <t>号</t>
    </r>
    <phoneticPr fontId="233" type="noConversion"/>
  </si>
  <si>
    <t>出让国有建设用地使用权抵押价格</t>
    <phoneticPr fontId="233" type="noConversion"/>
  </si>
  <si>
    <t>红线外“三通”，红线内场地平整</t>
    <phoneticPr fontId="233" type="noConversion"/>
  </si>
  <si>
    <r>
      <t>土地面积</t>
    </r>
    <r>
      <rPr>
        <sz val="9"/>
        <color theme="1"/>
        <rFont val="Arial"/>
        <family val="2"/>
      </rPr>
      <t>/</t>
    </r>
    <r>
      <rPr>
        <sz val="9"/>
        <color theme="1"/>
        <rFont val="宋体"/>
        <family val="3"/>
        <charset val="134"/>
      </rPr>
      <t>㎡</t>
    </r>
    <phoneticPr fontId="233" type="noConversion"/>
  </si>
  <si>
    <t>住宅69.7年、商服39.7年、科教49.7年</t>
    <phoneticPr fontId="233" type="noConversion"/>
  </si>
  <si>
    <t>红线外“三通”，已开始进行土方工程建设，并建有数幢临时工程用房</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</si>
</sst>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9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0"/>
      <color rgb="FFFF0000"/>
      <name val="楷体_GB2312"/>
      <family val="3"/>
      <charset val="134"/>
    </font>
    <font>
      <b/>
      <sz val="12"/>
      <color rgb="FF000000"/>
      <name val="仿宋_GB2312"/>
      <family val="3"/>
      <charset val="134"/>
    </font>
    <font>
      <b/>
      <sz val="12"/>
      <color rgb="FF000000"/>
      <name val="Arial"/>
      <family val="2"/>
    </font>
    <font>
      <b/>
      <vertAlign val="superscript"/>
      <sz val="12"/>
      <color rgb="FF000000"/>
      <name val="Arial"/>
      <family val="2"/>
    </font>
    <font>
      <sz val="12"/>
      <color rgb="FF000000"/>
      <name val="仿宋_GB2312"/>
      <family val="3"/>
      <charset val="134"/>
    </font>
    <font>
      <sz val="9"/>
      <color rgb="FF313131"/>
      <name val="微软雅黑"/>
      <family val="2"/>
      <charset val="134"/>
    </font>
    <font>
      <sz val="9"/>
      <color rgb="FF2E2E2E"/>
      <name val="微软雅黑"/>
      <family val="2"/>
      <charset val="134"/>
    </font>
    <font>
      <sz val="10.5"/>
      <color rgb="FF000000"/>
      <name val="Arial"/>
      <family val="2"/>
    </font>
    <font>
      <sz val="10.5"/>
      <color rgb="FF000000"/>
      <name val="仿宋_GB2312"/>
      <family val="3"/>
      <charset val="134"/>
    </font>
    <font>
      <sz val="9"/>
      <color rgb="FF000000"/>
      <name val="仿宋_GB2312"/>
      <family val="3"/>
      <charset val="134"/>
    </font>
    <font>
      <sz val="9"/>
      <color rgb="FF000000"/>
      <name val="Arial"/>
      <family val="2"/>
    </font>
    <font>
      <sz val="9"/>
      <color rgb="FF000000"/>
      <name val="宋体"/>
      <family val="3"/>
      <charset val="134"/>
    </font>
    <font>
      <sz val="9"/>
      <color theme="1"/>
      <name val="仿宋_GB2312"/>
      <family val="3"/>
      <charset val="134"/>
    </font>
    <font>
      <sz val="9"/>
      <color theme="1"/>
      <name val="宋体"/>
      <family val="3"/>
      <charset val="134"/>
    </font>
    <font>
      <b/>
      <sz val="9"/>
      <color theme="1"/>
      <name val="仿宋_GB2312"/>
      <family val="3"/>
      <charset val="134"/>
    </font>
    <font>
      <b/>
      <u/>
      <sz val="9"/>
      <color theme="1"/>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5" tint="0.39997558519241921"/>
        <bgColor indexed="64"/>
      </patternFill>
    </fill>
    <fill>
      <patternFill patternType="solid">
        <fgColor rgb="FFEAE8E8"/>
        <bgColor indexed="64"/>
      </patternFill>
    </fill>
    <fill>
      <patternFill patternType="solid">
        <fgColor rgb="FFF1F1F1"/>
        <bgColor indexed="64"/>
      </patternFill>
    </fill>
  </fills>
  <borders count="15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
      <left style="medium">
        <color indexed="64"/>
      </left>
      <right style="medium">
        <color indexed="64"/>
      </right>
      <top/>
      <bottom style="medium">
        <color rgb="FF000000"/>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60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8" fillId="0" borderId="12" xfId="0" applyFont="1" applyBorder="1" applyAlignment="1" applyProtection="1">
      <alignment horizontal="center" vertical="center" wrapText="1"/>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179" fontId="71" fillId="0" borderId="2" xfId="0" applyNumberFormat="1" applyFont="1" applyBorder="1" applyAlignment="1" applyProtection="1">
      <alignment horizontal="center" vertical="center"/>
      <protection locked="0"/>
    </xf>
    <xf numFmtId="0" fontId="58" fillId="0" borderId="6"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52" fillId="0" borderId="7" xfId="0" applyNumberFormat="1" applyFont="1" applyFill="1" applyBorder="1" applyAlignment="1" applyProtection="1">
      <alignment horizontal="center" vertical="center" wrapText="1"/>
      <protection locked="0"/>
    </xf>
    <xf numFmtId="49" fontId="160" fillId="0" borderId="12" xfId="0" applyNumberFormat="1" applyFont="1" applyFill="1" applyBorder="1" applyAlignment="1" applyProtection="1">
      <alignment horizontal="center" vertical="center" wrapText="1"/>
      <protection locked="0"/>
    </xf>
    <xf numFmtId="0" fontId="52" fillId="0" borderId="1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protection locked="0"/>
    </xf>
    <xf numFmtId="0" fontId="52" fillId="0" borderId="12"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177" fontId="158" fillId="0" borderId="2" xfId="2" applyNumberFormat="1" applyFont="1" applyFill="1" applyBorder="1" applyAlignment="1" applyProtection="1">
      <alignment horizontal="center" vertical="center"/>
      <protection locked="0"/>
    </xf>
    <xf numFmtId="177" fontId="153" fillId="0" borderId="2" xfId="2" applyNumberFormat="1" applyFont="1" applyFill="1" applyBorder="1" applyAlignment="1" applyProtection="1">
      <alignment horizontal="center" vertical="center"/>
      <protection locked="0"/>
    </xf>
    <xf numFmtId="9" fontId="158" fillId="0" borderId="5" xfId="0" applyNumberFormat="1" applyFont="1" applyFill="1" applyBorder="1" applyAlignment="1" applyProtection="1">
      <alignment horizontal="center" vertical="center"/>
      <protection locked="0"/>
    </xf>
    <xf numFmtId="9" fontId="153" fillId="0" borderId="5" xfId="0" applyNumberFormat="1" applyFont="1" applyFill="1" applyBorder="1" applyAlignment="1" applyProtection="1">
      <alignment horizontal="center" vertical="center"/>
      <protection locked="0"/>
    </xf>
    <xf numFmtId="0" fontId="153" fillId="2" borderId="59" xfId="0" applyNumberFormat="1" applyFont="1" applyFill="1" applyBorder="1" applyAlignment="1" applyProtection="1">
      <alignment horizontal="center" vertical="center" wrapText="1"/>
      <protection locked="0"/>
    </xf>
    <xf numFmtId="49" fontId="183" fillId="0" borderId="50"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45" fillId="0" borderId="0" xfId="0" applyFont="1">
      <alignment vertical="center"/>
    </xf>
    <xf numFmtId="0" fontId="145" fillId="0" borderId="2" xfId="0" applyFont="1" applyBorder="1">
      <alignment vertical="center"/>
    </xf>
    <xf numFmtId="0" fontId="0" fillId="0" borderId="2" xfId="0" applyBorder="1">
      <alignment vertical="center"/>
    </xf>
    <xf numFmtId="0" fontId="0" fillId="0" borderId="2" xfId="0" applyBorder="1" applyAlignment="1">
      <alignment horizontal="center" vertical="center"/>
    </xf>
    <xf numFmtId="0" fontId="145" fillId="16" borderId="2" xfId="0" applyFont="1" applyFill="1" applyBorder="1" applyAlignment="1">
      <alignment horizontal="center" vertical="center"/>
    </xf>
    <xf numFmtId="0" fontId="0" fillId="16" borderId="2" xfId="0" applyFill="1" applyBorder="1" applyAlignment="1">
      <alignment horizontal="center" vertical="center"/>
    </xf>
    <xf numFmtId="0" fontId="0" fillId="16" borderId="2" xfId="0" applyFill="1" applyBorder="1">
      <alignment vertical="center"/>
    </xf>
    <xf numFmtId="0" fontId="0" fillId="0" borderId="0" xfId="0" applyFill="1">
      <alignment vertical="center"/>
    </xf>
    <xf numFmtId="0" fontId="145" fillId="0" borderId="2" xfId="0" applyFont="1" applyFill="1" applyBorder="1" applyAlignment="1">
      <alignment horizontal="center" vertical="center"/>
    </xf>
    <xf numFmtId="0" fontId="0" fillId="0" borderId="2" xfId="0" applyFill="1" applyBorder="1" applyAlignment="1">
      <alignment horizontal="center" vertical="center"/>
    </xf>
    <xf numFmtId="0" fontId="0" fillId="6" borderId="2" xfId="0" applyFill="1" applyBorder="1" applyAlignment="1">
      <alignment horizontal="center" vertical="center"/>
    </xf>
    <xf numFmtId="0" fontId="145" fillId="11" borderId="0" xfId="0" applyFont="1" applyFill="1">
      <alignment vertical="center"/>
    </xf>
    <xf numFmtId="0" fontId="0" fillId="11" borderId="0" xfId="0" applyFill="1">
      <alignment vertical="center"/>
    </xf>
    <xf numFmtId="0" fontId="147" fillId="16" borderId="2" xfId="0" applyFont="1" applyFill="1" applyBorder="1" applyAlignment="1">
      <alignment horizontal="center" vertical="center"/>
    </xf>
    <xf numFmtId="0" fontId="145" fillId="11" borderId="0" xfId="0" applyFont="1" applyFill="1" applyBorder="1">
      <alignment vertical="center"/>
    </xf>
    <xf numFmtId="0" fontId="0" fillId="11" borderId="0" xfId="0" applyFill="1" applyAlignment="1"/>
    <xf numFmtId="0" fontId="0" fillId="17" borderId="0" xfId="0" applyFill="1" applyAlignment="1"/>
    <xf numFmtId="0" fontId="145" fillId="0" borderId="0" xfId="0" applyFont="1" applyAlignment="1"/>
    <xf numFmtId="177" fontId="81" fillId="0" borderId="2" xfId="2" applyNumberFormat="1" applyFont="1" applyFill="1" applyBorder="1" applyAlignment="1" applyProtection="1">
      <alignment vertical="center"/>
      <protection locked="0"/>
    </xf>
    <xf numFmtId="0" fontId="0" fillId="11" borderId="2" xfId="0" applyFill="1" applyBorder="1">
      <alignment vertical="center"/>
    </xf>
    <xf numFmtId="0" fontId="86" fillId="6" borderId="7" xfId="2" applyNumberFormat="1" applyFont="1" applyFill="1" applyBorder="1" applyAlignment="1" applyProtection="1">
      <alignment horizontal="center" vertical="center"/>
      <protection locked="0"/>
    </xf>
    <xf numFmtId="0" fontId="86" fillId="6" borderId="12" xfId="2" applyNumberFormat="1" applyFont="1" applyFill="1" applyBorder="1" applyAlignment="1" applyProtection="1">
      <alignment horizontal="center" vertical="center"/>
      <protection locked="0"/>
    </xf>
    <xf numFmtId="0" fontId="147" fillId="6" borderId="2" xfId="0" applyFont="1" applyFill="1" applyBorder="1" applyAlignment="1">
      <alignment horizontal="center" vertical="center"/>
    </xf>
    <xf numFmtId="176" fontId="278" fillId="6" borderId="2" xfId="0" applyNumberFormat="1" applyFont="1" applyFill="1" applyBorder="1" applyAlignment="1" applyProtection="1">
      <alignment horizontal="center" vertical="center" wrapText="1"/>
      <protection locked="0"/>
    </xf>
    <xf numFmtId="177" fontId="153" fillId="6" borderId="2" xfId="2" applyNumberFormat="1" applyFont="1" applyFill="1" applyBorder="1" applyAlignment="1" applyProtection="1">
      <alignment horizontal="center" vertical="center"/>
      <protection locked="0"/>
    </xf>
    <xf numFmtId="177" fontId="158" fillId="6" borderId="2" xfId="2" applyNumberFormat="1" applyFont="1" applyFill="1" applyBorder="1" applyAlignment="1" applyProtection="1">
      <alignment horizontal="center" vertical="center"/>
      <protection locked="0"/>
    </xf>
    <xf numFmtId="181" fontId="153" fillId="6" borderId="2" xfId="0" applyNumberFormat="1" applyFont="1" applyFill="1" applyBorder="1" applyAlignment="1" applyProtection="1">
      <alignment vertical="center"/>
      <protection locked="0"/>
    </xf>
    <xf numFmtId="176" fontId="153" fillId="6" borderId="12" xfId="2" applyNumberFormat="1" applyFont="1" applyFill="1" applyBorder="1" applyAlignment="1" applyProtection="1">
      <alignment horizontal="center" vertical="center"/>
      <protection locked="0"/>
    </xf>
    <xf numFmtId="0" fontId="153" fillId="6" borderId="20" xfId="0" applyNumberFormat="1" applyFont="1" applyFill="1" applyBorder="1" applyAlignment="1" applyProtection="1">
      <alignment horizontal="center" vertical="center" wrapText="1"/>
      <protection locked="0"/>
    </xf>
    <xf numFmtId="49" fontId="144" fillId="0" borderId="22" xfId="0" applyNumberFormat="1" applyFont="1" applyFill="1" applyBorder="1" applyAlignment="1" applyProtection="1">
      <alignment horizontal="center" vertical="center" wrapText="1"/>
      <protection locked="0"/>
    </xf>
    <xf numFmtId="0" fontId="279" fillId="0" borderId="66" xfId="0" applyFont="1" applyBorder="1" applyAlignment="1">
      <alignment horizontal="center" vertical="center"/>
    </xf>
    <xf numFmtId="0" fontId="177" fillId="0" borderId="66" xfId="0" applyFont="1" applyBorder="1" applyAlignment="1">
      <alignment horizontal="center" vertical="center"/>
    </xf>
    <xf numFmtId="0" fontId="282" fillId="0" borderId="66" xfId="0" applyFont="1" applyBorder="1" applyAlignment="1">
      <alignment horizontal="center" vertical="center"/>
    </xf>
    <xf numFmtId="177" fontId="282" fillId="0" borderId="66" xfId="0" applyNumberFormat="1" applyFont="1" applyBorder="1" applyAlignment="1">
      <alignment horizontal="center" vertical="center"/>
    </xf>
    <xf numFmtId="176" fontId="177" fillId="0" borderId="66" xfId="0" applyNumberFormat="1" applyFont="1" applyBorder="1" applyAlignment="1">
      <alignment horizontal="center" vertical="center"/>
    </xf>
    <xf numFmtId="0" fontId="145" fillId="11" borderId="0" xfId="0" applyFont="1" applyFill="1" applyAlignment="1"/>
    <xf numFmtId="0" fontId="283" fillId="18" borderId="152" xfId="0" applyFont="1" applyFill="1" applyBorder="1" applyAlignment="1">
      <alignment horizontal="center"/>
    </xf>
    <xf numFmtId="0" fontId="283" fillId="18" borderId="153" xfId="0" applyFont="1" applyFill="1" applyBorder="1" applyAlignment="1">
      <alignment horizontal="center"/>
    </xf>
    <xf numFmtId="0" fontId="284" fillId="0" borderId="0" xfId="0" applyFont="1" applyAlignment="1">
      <alignment horizontal="left" vertical="center" wrapText="1"/>
    </xf>
    <xf numFmtId="0" fontId="284" fillId="0" borderId="154" xfId="0" applyFont="1" applyBorder="1" applyAlignment="1">
      <alignment horizontal="right" vertical="center" wrapText="1"/>
    </xf>
    <xf numFmtId="0" fontId="284" fillId="19" borderId="0" xfId="0" applyFont="1" applyFill="1" applyAlignment="1">
      <alignment horizontal="left" vertical="center" wrapText="1"/>
    </xf>
    <xf numFmtId="0" fontId="284" fillId="19" borderId="154" xfId="0" applyFont="1" applyFill="1" applyBorder="1" applyAlignment="1">
      <alignment horizontal="right" vertical="center" wrapText="1"/>
    </xf>
    <xf numFmtId="0" fontId="285" fillId="0" borderId="0" xfId="0" applyFont="1" applyAlignment="1">
      <alignment horizontal="center" vertical="center"/>
    </xf>
    <xf numFmtId="0" fontId="286" fillId="13" borderId="82" xfId="0" applyFont="1" applyFill="1" applyBorder="1" applyAlignment="1">
      <alignment horizontal="center" vertical="center"/>
    </xf>
    <xf numFmtId="0" fontId="285" fillId="13" borderId="38" xfId="0" applyFont="1" applyFill="1" applyBorder="1" applyAlignment="1">
      <alignment horizontal="center" vertical="center"/>
    </xf>
    <xf numFmtId="0" fontId="285" fillId="13" borderId="80" xfId="0" applyFont="1" applyFill="1" applyBorder="1" applyAlignment="1">
      <alignment horizontal="center" vertical="center"/>
    </xf>
    <xf numFmtId="10" fontId="285" fillId="13" borderId="66" xfId="0" applyNumberFormat="1" applyFont="1" applyFill="1" applyBorder="1" applyAlignment="1">
      <alignment horizontal="center" vertical="center" wrapText="1"/>
    </xf>
    <xf numFmtId="0" fontId="285" fillId="13" borderId="66" xfId="0" applyFont="1" applyFill="1" applyBorder="1" applyAlignment="1">
      <alignment horizontal="center" vertical="center" wrapText="1"/>
    </xf>
    <xf numFmtId="0" fontId="285" fillId="13" borderId="66" xfId="0" applyFont="1" applyFill="1" applyBorder="1" applyAlignment="1">
      <alignment horizontal="center" vertical="center"/>
    </xf>
    <xf numFmtId="0" fontId="287" fillId="0" borderId="65" xfId="0" applyFont="1" applyBorder="1" applyAlignment="1">
      <alignment horizontal="center" vertical="center"/>
    </xf>
    <xf numFmtId="0" fontId="287" fillId="0" borderId="66" xfId="0" applyFont="1" applyBorder="1" applyAlignment="1">
      <alignment horizontal="center" vertical="center"/>
    </xf>
    <xf numFmtId="0" fontId="288" fillId="0" borderId="80" xfId="0" applyFont="1" applyBorder="1" applyAlignment="1">
      <alignment horizontal="center" vertical="center"/>
    </xf>
    <xf numFmtId="0" fontId="288" fillId="0" borderId="66" xfId="0" applyFont="1" applyBorder="1" applyAlignment="1">
      <alignment horizontal="center" vertical="center"/>
    </xf>
    <xf numFmtId="0" fontId="287" fillId="0" borderId="80" xfId="0" applyFont="1" applyBorder="1" applyAlignment="1">
      <alignment horizontal="center" vertical="center"/>
    </xf>
    <xf numFmtId="0" fontId="145" fillId="16" borderId="5" xfId="0" applyFont="1" applyFill="1" applyBorder="1" applyAlignment="1">
      <alignment vertical="center"/>
    </xf>
    <xf numFmtId="0" fontId="0" fillId="16" borderId="8" xfId="0" applyFill="1" applyBorder="1" applyAlignment="1">
      <alignment vertical="center"/>
    </xf>
    <xf numFmtId="0" fontId="0" fillId="16" borderId="9" xfId="0" applyFill="1" applyBorder="1" applyAlignment="1">
      <alignment vertical="center"/>
    </xf>
    <xf numFmtId="0" fontId="145" fillId="0" borderId="5" xfId="0" applyFont="1" applyFill="1" applyBorder="1" applyAlignment="1">
      <alignment vertical="center"/>
    </xf>
    <xf numFmtId="0" fontId="0" fillId="0" borderId="8" xfId="0" applyFill="1" applyBorder="1" applyAlignment="1">
      <alignment vertical="center"/>
    </xf>
    <xf numFmtId="0" fontId="0" fillId="0" borderId="9" xfId="0" applyFill="1" applyBorder="1" applyAlignment="1">
      <alignment vertical="center"/>
    </xf>
    <xf numFmtId="0" fontId="289" fillId="0" borderId="80" xfId="0" applyFont="1" applyBorder="1" applyAlignment="1">
      <alignment horizontal="center" vertical="center"/>
    </xf>
    <xf numFmtId="0" fontId="0" fillId="0" borderId="0" xfId="0" applyAlignment="1">
      <alignment horizontal="center" vertical="center"/>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287" fillId="0" borderId="35" xfId="0" applyFont="1" applyBorder="1" applyAlignment="1">
      <alignment horizontal="center" vertical="center" wrapText="1"/>
    </xf>
    <xf numFmtId="0" fontId="287" fillId="0" borderId="79" xfId="0" applyFont="1" applyBorder="1" applyAlignment="1">
      <alignment horizontal="center" vertical="center" wrapText="1"/>
    </xf>
    <xf numFmtId="0" fontId="287" fillId="0" borderId="155" xfId="0" applyFont="1" applyBorder="1" applyAlignment="1">
      <alignment horizontal="center" vertical="center" wrapText="1"/>
    </xf>
    <xf numFmtId="0" fontId="287" fillId="0" borderId="35" xfId="0" applyFont="1" applyBorder="1" applyAlignment="1">
      <alignment horizontal="center" vertical="center"/>
    </xf>
    <xf numFmtId="0" fontId="287" fillId="0" borderId="79" xfId="0" applyFont="1" applyBorder="1" applyAlignment="1">
      <alignment horizontal="center" vertical="center"/>
    </xf>
    <xf numFmtId="0" fontId="287" fillId="0" borderId="155" xfId="0" applyFont="1" applyBorder="1" applyAlignment="1">
      <alignment horizontal="center" vertical="center"/>
    </xf>
    <xf numFmtId="0" fontId="287" fillId="0" borderId="157" xfId="0" applyFont="1" applyBorder="1" applyAlignment="1">
      <alignment horizontal="center" vertical="center"/>
    </xf>
    <xf numFmtId="0" fontId="287" fillId="0" borderId="37" xfId="0" applyFont="1" applyBorder="1" applyAlignment="1">
      <alignment horizontal="center" vertical="center"/>
    </xf>
    <xf numFmtId="0" fontId="287" fillId="0" borderId="156" xfId="0" applyFont="1" applyBorder="1" applyAlignment="1">
      <alignment horizontal="center" vertical="center"/>
    </xf>
    <xf numFmtId="0" fontId="287" fillId="0" borderId="36" xfId="0" applyFont="1" applyBorder="1" applyAlignment="1">
      <alignment horizontal="center" vertical="center"/>
    </xf>
    <xf numFmtId="0" fontId="145" fillId="0" borderId="2" xfId="0" applyFont="1" applyFill="1" applyBorder="1" applyAlignment="1">
      <alignment horizontal="center" vertical="center"/>
    </xf>
    <xf numFmtId="0" fontId="0" fillId="0" borderId="2" xfId="0" applyFill="1" applyBorder="1" applyAlignment="1">
      <alignment horizontal="center" vertical="center"/>
    </xf>
    <xf numFmtId="0" fontId="145" fillId="16" borderId="5" xfId="0" applyFont="1" applyFill="1" applyBorder="1" applyAlignment="1">
      <alignment horizontal="center" vertical="center"/>
    </xf>
    <xf numFmtId="0" fontId="0" fillId="16" borderId="8" xfId="0" applyFill="1" applyBorder="1" applyAlignment="1">
      <alignment horizontal="center" vertical="center"/>
    </xf>
    <xf numFmtId="0" fontId="0" fillId="16" borderId="9" xfId="0" applyFill="1" applyBorder="1" applyAlignment="1">
      <alignment horizontal="center" vertical="center"/>
    </xf>
    <xf numFmtId="0" fontId="145" fillId="16" borderId="2" xfId="0" applyFont="1" applyFill="1" applyBorder="1" applyAlignment="1">
      <alignment horizontal="center" vertical="center"/>
    </xf>
    <xf numFmtId="0" fontId="0" fillId="16" borderId="2" xfId="0" applyFill="1" applyBorder="1" applyAlignment="1">
      <alignment horizontal="center" vertical="center"/>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282" fillId="0" borderId="35" xfId="0" applyFont="1" applyBorder="1" applyAlignment="1">
      <alignment horizontal="center" vertical="center" wrapText="1"/>
    </xf>
    <xf numFmtId="0" fontId="282" fillId="0" borderId="79" xfId="0" applyFont="1" applyBorder="1" applyAlignment="1">
      <alignment horizontal="center" vertical="center" wrapText="1"/>
    </xf>
    <xf numFmtId="0" fontId="282" fillId="0" borderId="80" xfId="0" applyFont="1" applyBorder="1" applyAlignment="1">
      <alignment horizontal="center" vertical="center" wrapText="1"/>
    </xf>
    <xf numFmtId="0" fontId="282" fillId="0" borderId="36" xfId="0" applyFont="1" applyBorder="1" applyAlignment="1">
      <alignment horizontal="center" vertical="center"/>
    </xf>
    <xf numFmtId="0" fontId="282" fillId="0" borderId="38" xfId="0" applyFont="1" applyBorder="1" applyAlignment="1">
      <alignment horizontal="center" vertical="center"/>
    </xf>
    <xf numFmtId="0" fontId="282" fillId="0" borderId="36" xfId="0" applyFont="1" applyBorder="1" applyAlignment="1">
      <alignment horizontal="center" vertical="center" wrapText="1"/>
    </xf>
    <xf numFmtId="0" fontId="282" fillId="0" borderId="37" xfId="0" applyFont="1" applyBorder="1" applyAlignment="1">
      <alignment horizontal="center" vertical="center" wrapText="1"/>
    </xf>
    <xf numFmtId="0" fontId="282" fillId="0" borderId="38" xfId="0" applyFont="1" applyBorder="1" applyAlignment="1">
      <alignment horizontal="center" vertical="center" wrapText="1"/>
    </xf>
    <xf numFmtId="0" fontId="279" fillId="0" borderId="35" xfId="0" applyFont="1" applyBorder="1" applyAlignment="1">
      <alignment horizontal="center" vertical="center" wrapText="1"/>
    </xf>
    <xf numFmtId="0" fontId="279" fillId="0" borderId="80" xfId="0" applyFont="1" applyBorder="1" applyAlignment="1">
      <alignment horizontal="center" vertical="center" wrapText="1"/>
    </xf>
    <xf numFmtId="0" fontId="279" fillId="0" borderId="35" xfId="0" applyFont="1" applyBorder="1" applyAlignment="1">
      <alignment horizontal="center" vertical="center"/>
    </xf>
    <xf numFmtId="0" fontId="279" fillId="0" borderId="80" xfId="0" applyFont="1" applyBorder="1" applyAlignment="1">
      <alignment horizontal="center" vertical="center"/>
    </xf>
    <xf numFmtId="0" fontId="279" fillId="0" borderId="36" xfId="0" applyFont="1" applyBorder="1" applyAlignment="1">
      <alignment horizontal="center" vertical="center"/>
    </xf>
    <xf numFmtId="0" fontId="279" fillId="0" borderId="37" xfId="0" applyFont="1" applyBorder="1" applyAlignment="1">
      <alignment horizontal="center" vertical="center"/>
    </xf>
    <xf numFmtId="0" fontId="279" fillId="0" borderId="38" xfId="0" applyFont="1"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87" fillId="0" borderId="2" xfId="0" applyFont="1" applyBorder="1" applyAlignment="1">
      <alignment horizontal="center" vertical="center" wrapText="1"/>
    </xf>
    <xf numFmtId="0" fontId="287" fillId="0" borderId="2" xfId="0" applyFont="1" applyBorder="1" applyAlignment="1">
      <alignment horizontal="center" vertical="center"/>
    </xf>
    <xf numFmtId="0" fontId="287" fillId="0" borderId="2" xfId="0" applyFont="1" applyBorder="1" applyAlignment="1">
      <alignment horizontal="center" vertical="center"/>
    </xf>
    <xf numFmtId="0" fontId="288" fillId="0" borderId="2" xfId="0" applyFont="1" applyBorder="1" applyAlignment="1">
      <alignment horizontal="center" vertical="center"/>
    </xf>
    <xf numFmtId="0" fontId="0" fillId="0" borderId="3" xfId="0" applyBorder="1" applyAlignment="1">
      <alignment horizontal="center" vertical="center"/>
    </xf>
    <xf numFmtId="0" fontId="0" fillId="0" borderId="21" xfId="0" applyBorder="1" applyAlignment="1">
      <alignment horizontal="center" vertical="center"/>
    </xf>
    <xf numFmtId="0" fontId="287" fillId="0" borderId="5" xfId="0" applyFont="1" applyBorder="1" applyAlignment="1">
      <alignment horizontal="center" vertical="center"/>
    </xf>
    <xf numFmtId="0" fontId="287" fillId="0" borderId="9" xfId="0" applyFont="1" applyBorder="1" applyAlignment="1">
      <alignment horizontal="center" vertical="center"/>
    </xf>
    <xf numFmtId="0" fontId="145" fillId="0" borderId="10" xfId="0" applyFont="1" applyBorder="1" applyAlignment="1">
      <alignment horizontal="center" vertical="center"/>
    </xf>
    <xf numFmtId="0" fontId="290" fillId="0" borderId="39" xfId="0" applyFont="1" applyBorder="1" applyAlignment="1">
      <alignment horizontal="center" vertical="center" wrapText="1"/>
    </xf>
    <xf numFmtId="0" fontId="290" fillId="0" borderId="66" xfId="0" applyFont="1" applyBorder="1" applyAlignment="1">
      <alignment horizontal="center" vertical="center" wrapText="1"/>
    </xf>
    <xf numFmtId="0" fontId="173" fillId="0" borderId="66" xfId="0" applyFont="1" applyBorder="1" applyAlignment="1">
      <alignment horizontal="center" vertical="center" wrapText="1"/>
    </xf>
    <xf numFmtId="0" fontId="293" fillId="0" borderId="66" xfId="0" applyFont="1" applyBorder="1" applyAlignment="1">
      <alignment horizontal="center" vertical="center" wrapText="1"/>
    </xf>
    <xf numFmtId="0" fontId="290" fillId="0" borderId="35" xfId="0" applyFont="1" applyBorder="1" applyAlignment="1">
      <alignment horizontal="center" vertical="center" wrapText="1"/>
    </xf>
    <xf numFmtId="0" fontId="290" fillId="0" borderId="80" xfId="0" applyFont="1" applyBorder="1" applyAlignment="1">
      <alignment horizontal="center" vertical="center" wrapText="1"/>
    </xf>
    <xf numFmtId="0" fontId="290" fillId="0" borderId="37" xfId="0" applyFont="1" applyBorder="1" applyAlignment="1">
      <alignment horizontal="center" vertical="center" wrapText="1"/>
    </xf>
    <xf numFmtId="0" fontId="290" fillId="0" borderId="36" xfId="0" applyFont="1" applyBorder="1" applyAlignment="1">
      <alignment horizontal="center" vertical="center" wrapText="1"/>
    </xf>
    <xf numFmtId="0" fontId="290" fillId="0" borderId="38" xfId="0" applyFont="1" applyBorder="1" applyAlignment="1">
      <alignment horizontal="center" vertical="center" wrapText="1"/>
    </xf>
    <xf numFmtId="0" fontId="290" fillId="0" borderId="79" xfId="0" applyFont="1" applyBorder="1" applyAlignment="1">
      <alignment horizontal="center" vertical="center" wrapText="1"/>
    </xf>
    <xf numFmtId="0" fontId="173" fillId="0" borderId="35" xfId="0" applyFont="1" applyBorder="1" applyAlignment="1">
      <alignment horizontal="center" vertical="center" wrapText="1"/>
    </xf>
    <xf numFmtId="0" fontId="173" fillId="0" borderId="79" xfId="0" applyFont="1" applyBorder="1" applyAlignment="1">
      <alignment horizontal="center" vertical="center" wrapText="1"/>
    </xf>
    <xf numFmtId="0" fontId="173" fillId="0" borderId="80" xfId="0" applyFont="1" applyBorder="1" applyAlignment="1">
      <alignment horizontal="center" vertical="center" wrapText="1"/>
    </xf>
    <xf numFmtId="0" fontId="292" fillId="0" borderId="36" xfId="0" applyFont="1" applyBorder="1" applyAlignment="1">
      <alignment horizontal="center" vertical="center" wrapText="1"/>
    </xf>
    <xf numFmtId="0" fontId="292" fillId="0" borderId="37" xfId="0" applyFont="1" applyBorder="1" applyAlignment="1">
      <alignment horizontal="center" vertical="center" wrapText="1"/>
    </xf>
    <xf numFmtId="0" fontId="292" fillId="0" borderId="38" xfId="0" applyFont="1" applyBorder="1" applyAlignment="1">
      <alignment horizontal="center" vertical="center" wrapText="1"/>
    </xf>
    <xf numFmtId="0" fontId="291" fillId="0" borderId="66" xfId="0" applyFont="1" applyBorder="1" applyAlignment="1">
      <alignment horizontal="center" vertical="center" wrapText="1"/>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30">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07" customWidth="1"/>
    <col min="2" max="2" width="78.25" style="2908" customWidth="1"/>
    <col min="3" max="18" width="9" style="2902"/>
    <col min="19" max="19" width="17.875" style="2902" customWidth="1"/>
    <col min="20" max="51" width="9" style="2902"/>
    <col min="52" max="52" width="13.25" style="2902" customWidth="1"/>
    <col min="53" max="53" width="13.5" style="2902" bestFit="1" customWidth="1"/>
    <col min="54" max="54" width="11.625" style="2902" bestFit="1" customWidth="1"/>
    <col min="55" max="55" width="13.5" style="2902" bestFit="1" customWidth="1"/>
    <col min="56" max="16384" width="9" style="2902"/>
  </cols>
  <sheetData>
    <row r="1" spans="1:55" s="2913" customFormat="1" ht="16.5" thickBot="1">
      <c r="A1" s="2911" t="s">
        <v>2655</v>
      </c>
      <c r="B1" s="2912" t="s">
        <v>2752</v>
      </c>
    </row>
    <row r="2" spans="1:55" s="2916" customFormat="1" ht="15" thickTop="1">
      <c r="A2" s="2914" t="s">
        <v>2659</v>
      </c>
      <c r="B2" s="2915" t="str">
        <f>'预评函-封皮'!B37</f>
        <v>天津市河东区六纬路西侧金茂天津河东一热电项目出让国有建设用地使用权抵押价格预评估</v>
      </c>
      <c r="AX2" s="2917"/>
      <c r="AZ2" s="2917"/>
      <c r="BA2" s="2918"/>
      <c r="BC2" s="2918"/>
    </row>
    <row r="3" spans="1:55" s="2919" customFormat="1">
      <c r="A3" s="2898" t="s">
        <v>2660</v>
      </c>
      <c r="B3" s="2901">
        <f>'预评函-封皮'!B40</f>
        <v>0</v>
      </c>
    </row>
    <row r="4" spans="1:55" s="2900" customFormat="1">
      <c r="A4" s="2898" t="s">
        <v>2661</v>
      </c>
      <c r="B4" s="2899" t="str">
        <f>'预评函-封皮'!B46</f>
        <v>欧红伟、梁津</v>
      </c>
      <c r="N4" s="2900" t="str">
        <f>'预评函-1'!A28</f>
        <v>本次估价的“抵押净值”是指估价对象“抵押价格”减去估价对象在估价期日以“土地销售收入”为基数计算的预计抵押权实现进行处置时需缴纳的各项费用、税金等相关费用后的价格。</v>
      </c>
    </row>
    <row r="5" spans="1:55" s="2913" customFormat="1" ht="15" thickBot="1">
      <c r="A5" s="2920" t="s">
        <v>2662</v>
      </c>
      <c r="B5" s="2921" t="str">
        <f>'预评函-封皮'!B49</f>
        <v>康正预评字号</v>
      </c>
    </row>
    <row r="6" spans="1:55" s="2922" customFormat="1" ht="15" thickTop="1">
      <c r="A6" s="2914" t="s">
        <v>2704</v>
      </c>
      <c r="B6" s="2915" t="str">
        <f>'预评函-1'!A4</f>
        <v>受贵公司委托，我公司对天津市河东区六纬路西侧金茂天津河东一热电项目出让国有建设用地使用权抵押价格进行了预评估。</v>
      </c>
      <c r="AM6" s="2923"/>
    </row>
    <row r="7" spans="1:55" s="2897" customFormat="1">
      <c r="A7" s="2898" t="s">
        <v>2656</v>
      </c>
      <c r="B7" s="2899" t="str">
        <f>'预评函-1'!A6</f>
        <v>估价对象为使用的、位于天津市河东区六纬路西侧金茂天津河东一热电项目出让国有建设用地使用权。根据《国有土地使用证》[]，估价对象（分摊）出让国有建设用地使用权面积为121315.1平方米。根据《建设工程规划许可证》[]、《出让合同》[]，估价对象规划建筑面积为412759.99平方米。</v>
      </c>
    </row>
    <row r="8" spans="1:55" s="2897" customFormat="1">
      <c r="A8" s="2898" t="s">
        <v>2657</v>
      </c>
      <c r="B8" s="2899" t="str">
        <f>'预评函-1'!A7</f>
        <v xml:space="preserve">简述项目推广名，项目类型（用途），估价对象分布，各用途面积明细情况：XX用途建筑面积XX平方米，XX用途建筑面积XX平方米，……。复杂面积清单需设‘附表’列示：抵押物清单详见附表。        </v>
      </c>
    </row>
    <row r="9" spans="1:55" s="2897" customFormat="1">
      <c r="A9" s="2898" t="s">
        <v>2707</v>
      </c>
      <c r="B9" s="2899" t="str">
        <f>'预评函-1'!A9</f>
        <v>天津津辉置业有限公司拟使用天津市河东区六纬路西侧金茂天津河东一热电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97" customFormat="1">
      <c r="A10" s="2898" t="s">
        <v>2658</v>
      </c>
      <c r="B10" s="2899" t="str">
        <f>'预评函-1'!A11</f>
        <v>2017年10月27日（评估专业人员勘察现场之日）</v>
      </c>
    </row>
    <row r="11" spans="1:55" s="2897" customFormat="1">
      <c r="A11" s="2898" t="s">
        <v>2664</v>
      </c>
      <c r="B11" s="2899" t="str">
        <f>'预评函-1'!A14</f>
        <v>根据《出让公告》，本次评估估价对象证载（地类）用途为住宅、商业、地下车库。</v>
      </c>
    </row>
    <row r="12" spans="1:55" s="2897" customFormat="1">
      <c r="A12" s="2898" t="s">
        <v>2665</v>
      </c>
      <c r="B12" s="2899" t="str">
        <f>'预评函-1'!A15</f>
        <v>本次评估设定用途即为证载用途。</v>
      </c>
    </row>
    <row r="13" spans="1:55" s="2897" customFormat="1">
      <c r="A13" s="2898" t="s">
        <v>2666</v>
      </c>
      <c r="B13" s="2899" t="str">
        <f>'预评函-1'!A17</f>
        <v>根据委托估价方介绍及评估专业人员现场勘查，本次评估估价对象实际土地开发程度为红线外市政基础设施达“七通”（即通路、通电、通讯、通上水、通下水、燃气、）、宗地红线内场地平整。</v>
      </c>
    </row>
    <row r="14" spans="1:55" s="2897" customFormat="1">
      <c r="A14" s="2898" t="s">
        <v>2667</v>
      </c>
      <c r="B14" s="2899" t="str">
        <f>'预评函-1'!A18</f>
        <v>。本次评估设定土地开发程度为红线外市政基础设施达“七通”、宗地红线内场地平整。</v>
      </c>
    </row>
    <row r="15" spans="1:55" s="2897" customFormat="1">
      <c r="A15" s="2898" t="s">
        <v>2663</v>
      </c>
      <c r="B15" s="2899" t="str">
        <f>'预评函-1'!A20</f>
        <v>根据《国有土地使用证》[]，估价对象（分摊）出让国有建设用地使用权面积为121315.1平方米。根据《建设工程规划许可证》[]、《出让合同》[]，估价对象规划建筑面积为412759.99平方米。</v>
      </c>
    </row>
    <row r="16" spans="1:55" s="2897" customFormat="1">
      <c r="A16" s="2898" t="s">
        <v>2668</v>
      </c>
      <c r="B16" s="2899" t="str">
        <f>'预评函-1'!A22</f>
        <v>本次估价对象为出让国有建设用地使用权，《出让公告》证载土地终止日期为住宅2087年6月25日、商业2057年6月25日、办公2067年6月25日、地下车库2067年6月25日。截至估价期日，出让国有建设用地使用权剩余土地使用年限为。</v>
      </c>
    </row>
    <row r="17" spans="1:48" s="2897" customFormat="1">
      <c r="A17" s="2898" t="s">
        <v>2669</v>
      </c>
      <c r="B17" s="2899" t="str">
        <f>'预评函-1'!A23</f>
        <v>本次评估设定估价对象剩余土地使用年限为。</v>
      </c>
    </row>
    <row r="18" spans="1:48" s="2897" customFormat="1">
      <c r="A18" s="2898" t="s">
        <v>2670</v>
      </c>
      <c r="B18" s="2899" t="str">
        <f>'预评函-1'!A25</f>
        <v>本次估价的“出让国有建设用地使用权价格”是指在估价对象土地所有权为国家所有，使用权性质为出让，在公开市场条件下、于估价期日2017年10月27日，在规划利用条件下、设定土地开发程度为红线外“七通”、宗地内场地，设定用途为，剩余土地使用年限为的出让国有建设用地使用权价格。</v>
      </c>
    </row>
    <row r="19" spans="1:48" s="2897" customFormat="1">
      <c r="A19" s="2898" t="s">
        <v>2671</v>
      </c>
      <c r="B19" s="2899" t="str">
        <f>'预评函-1'!A26</f>
        <v>本次估价的“抵押价格”是指估价对象在估价期日的“出让国有建设用地使用权价格”扣减估价师于估价期日所知悉的法定优先受偿款后的余额。</v>
      </c>
    </row>
    <row r="20" spans="1:48" s="2897" customFormat="1">
      <c r="A20" s="2898" t="s">
        <v>2672</v>
      </c>
      <c r="B20" s="289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3" customFormat="1" ht="15" thickBot="1">
      <c r="A21" s="2920" t="s">
        <v>2673</v>
      </c>
      <c r="B21" s="292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09" t="s">
        <v>2674</v>
      </c>
      <c r="B22" s="291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8" t="s">
        <v>2675</v>
      </c>
      <c r="B23" s="2899" t="str">
        <f>'预评函-2'!K2</f>
        <v>估价期日：2017年10月27日</v>
      </c>
    </row>
    <row r="24" spans="1:48">
      <c r="A24" s="2898" t="s">
        <v>2676</v>
      </c>
      <c r="B24" s="2899" t="str">
        <f>'预评函-2'!R2</f>
        <v>估价期日的国有建设用地使用权性质：出让</v>
      </c>
    </row>
    <row r="25" spans="1:48">
      <c r="A25" s="2898" t="s">
        <v>2732</v>
      </c>
      <c r="B25" s="2899" t="str">
        <f>'预评函-2'!A3</f>
        <v>估价期日土地使用者</v>
      </c>
    </row>
    <row r="26" spans="1:48">
      <c r="A26" s="2898" t="s">
        <v>2708</v>
      </c>
      <c r="B26" s="2899" t="str">
        <f>'预评函-2'!A5</f>
        <v>中信开发</v>
      </c>
    </row>
    <row r="27" spans="1:48">
      <c r="A27" s="2898" t="s">
        <v>2733</v>
      </c>
      <c r="B27" s="2899" t="str">
        <f>'预评函-2'!B3</f>
        <v>宗地编号/不动产单元号</v>
      </c>
    </row>
    <row r="28" spans="1:48">
      <c r="A28" s="2898" t="s">
        <v>2709</v>
      </c>
      <c r="B28" s="2899" t="str">
        <f>'预评函-2'!B5</f>
        <v>11111111111</v>
      </c>
    </row>
    <row r="29" spans="1:48">
      <c r="A29" s="2898" t="s">
        <v>2735</v>
      </c>
      <c r="B29" s="2899">
        <f>'预评函-2'!C5</f>
        <v>22</v>
      </c>
    </row>
    <row r="30" spans="1:48">
      <c r="A30" s="2898" t="s">
        <v>2736</v>
      </c>
      <c r="B30" s="2899" t="str">
        <f>'预评函-2'!D3</f>
        <v>土地使用证编号/不动产权证书编号</v>
      </c>
    </row>
    <row r="31" spans="1:48">
      <c r="A31" s="2898" t="s">
        <v>2710</v>
      </c>
      <c r="B31" s="2899" t="str">
        <f>'预评函-2'!D5</f>
        <v>京国土字第111号</v>
      </c>
    </row>
    <row r="32" spans="1:48">
      <c r="A32" s="2898" t="s">
        <v>2711</v>
      </c>
      <c r="B32" s="2899" t="str">
        <f>'预评函-2'!E5</f>
        <v>住宅、商业、地下车库</v>
      </c>
      <c r="AV32" s="2903"/>
    </row>
    <row r="33" spans="1:2">
      <c r="A33" s="2898" t="s">
        <v>2712</v>
      </c>
      <c r="B33" s="2899">
        <f>'预评函-2'!F5</f>
        <v>258</v>
      </c>
    </row>
    <row r="34" spans="1:2">
      <c r="A34" s="2898" t="s">
        <v>2713</v>
      </c>
      <c r="B34" s="2899">
        <f>'预评函-2'!G5</f>
        <v>0</v>
      </c>
    </row>
    <row r="35" spans="1:2">
      <c r="A35" s="2898" t="s">
        <v>2714</v>
      </c>
      <c r="B35" s="2899">
        <f>'预评函-2'!H5</f>
        <v>1.5</v>
      </c>
    </row>
    <row r="36" spans="1:2">
      <c r="A36" s="2898" t="s">
        <v>2715</v>
      </c>
      <c r="B36" s="2899">
        <f>'预评函-2'!I5</f>
        <v>1.5</v>
      </c>
    </row>
    <row r="37" spans="1:2">
      <c r="A37" s="2898" t="s">
        <v>2716</v>
      </c>
      <c r="B37" s="2899">
        <f>'预评函-2'!J5</f>
        <v>1.5</v>
      </c>
    </row>
    <row r="38" spans="1:2">
      <c r="A38" s="2898" t="s">
        <v>2717</v>
      </c>
      <c r="B38" s="2899" t="str">
        <f>'预评函-2'!K5</f>
        <v>红线外七通、宗地红线内</v>
      </c>
    </row>
    <row r="39" spans="1:2">
      <c r="A39" s="2898" t="s">
        <v>2718</v>
      </c>
      <c r="B39" s="2899" t="str">
        <f>'预评函-2'!L5</f>
        <v>红线外七通、宗地红线内场地</v>
      </c>
    </row>
    <row r="40" spans="1:2">
      <c r="A40" s="2898" t="s">
        <v>2737</v>
      </c>
      <c r="B40" s="2899" t="str">
        <f>'预评函-2'!M3</f>
        <v>（剩余）土地使用年限/年</v>
      </c>
    </row>
    <row r="41" spans="1:2">
      <c r="A41" s="2898" t="s">
        <v>2719</v>
      </c>
      <c r="B41" s="2899">
        <f>'预评函-2'!M5</f>
        <v>0</v>
      </c>
    </row>
    <row r="42" spans="1:2">
      <c r="A42" s="2898" t="s">
        <v>2738</v>
      </c>
      <c r="B42" s="2899" t="str">
        <f>'预评函-2'!N3</f>
        <v>（分摊）出让国有建设用地使用权面积/㎡</v>
      </c>
    </row>
    <row r="43" spans="1:2">
      <c r="A43" s="2898" t="s">
        <v>2720</v>
      </c>
      <c r="B43" s="2899">
        <f>'预评函-2'!N5</f>
        <v>121315.1</v>
      </c>
    </row>
    <row r="44" spans="1:2">
      <c r="A44" s="2898" t="s">
        <v>2739</v>
      </c>
      <c r="B44" s="2899" t="str">
        <f>'预评函-2'!O3</f>
        <v>规划建筑面积/㎡</v>
      </c>
    </row>
    <row r="45" spans="1:2">
      <c r="A45" s="2898" t="s">
        <v>2721</v>
      </c>
      <c r="B45" s="2899">
        <f>'预评函-2'!O5</f>
        <v>412759.99</v>
      </c>
    </row>
    <row r="46" spans="1:2">
      <c r="A46" s="2898" t="s">
        <v>2722</v>
      </c>
      <c r="B46" s="2899">
        <f ca="1">'预评函-2'!P5</f>
        <v>47953</v>
      </c>
    </row>
    <row r="47" spans="1:2">
      <c r="A47" s="2898" t="s">
        <v>2723</v>
      </c>
      <c r="B47" s="2899">
        <f ca="1">'预评函-2'!Q5</f>
        <v>14094</v>
      </c>
    </row>
    <row r="48" spans="1:2">
      <c r="A48" s="2898" t="s">
        <v>2724</v>
      </c>
      <c r="B48" s="2899">
        <f ca="1">'预评函-2'!R5</f>
        <v>581748</v>
      </c>
    </row>
    <row r="49" spans="1:2">
      <c r="A49" s="2898" t="s">
        <v>2740</v>
      </c>
      <c r="B49" s="2899" t="str">
        <f>'预评函-2'!A6</f>
        <v>抵押价格</v>
      </c>
    </row>
    <row r="50" spans="1:2">
      <c r="A50" s="2898" t="s">
        <v>2725</v>
      </c>
      <c r="B50" s="2899">
        <f ca="1">'预评函-2'!R6</f>
        <v>581748</v>
      </c>
    </row>
    <row r="51" spans="1:2">
      <c r="A51" s="2898" t="s">
        <v>2741</v>
      </c>
      <c r="B51" s="2899" t="str">
        <f>'预评函-2'!A7</f>
        <v>——</v>
      </c>
    </row>
    <row r="52" spans="1:2">
      <c r="A52" s="2898" t="s">
        <v>2726</v>
      </c>
      <c r="B52" s="2899" t="str">
        <f>'预评函-2'!R7</f>
        <v>——</v>
      </c>
    </row>
    <row r="53" spans="1:2">
      <c r="A53" s="2898" t="s">
        <v>2742</v>
      </c>
      <c r="B53" s="2899">
        <f>'预评函-2'!A8</f>
        <v>0</v>
      </c>
    </row>
    <row r="54" spans="1:2" s="2913" customFormat="1" ht="15" thickBot="1">
      <c r="A54" s="2920" t="s">
        <v>2727</v>
      </c>
      <c r="B54" s="2921" t="str">
        <f>'预评函-2'!R8</f>
        <v>——</v>
      </c>
    </row>
    <row r="55" spans="1:2" ht="15" thickTop="1">
      <c r="A55" s="2909" t="s">
        <v>2677</v>
      </c>
      <c r="B55" s="2910" t="str">
        <f>'预评函-3'!A2</f>
        <v>1.权利限制：根据估价对象《不动产权证书》——、《国有土地使用权》——，截至估价期日，估价对象抵押权未见登记。未设定租赁等其他他项权利。</v>
      </c>
    </row>
    <row r="56" spans="1:2">
      <c r="A56" s="2898" t="s">
        <v>2678</v>
      </c>
      <c r="B56" s="2899" t="str">
        <f>'预评函-3'!A3</f>
        <v>2.基础设施条件：估价对象实际开发程度为红线外七通、宗地红线内；本次评估设定开发程度为红线外七通、宗地红线内场地。</v>
      </c>
    </row>
    <row r="57" spans="1:2">
      <c r="A57" s="2898" t="s">
        <v>2679</v>
      </c>
      <c r="B57" s="2899" t="str">
        <f>'预评函-3'!A4</f>
        <v>3.估价规划限制条件：详见《建设工程规划许可证》[]、《出让合同》[]。</v>
      </c>
    </row>
    <row r="58" spans="1:2" s="2913" customFormat="1" ht="15" thickBot="1">
      <c r="A58" s="2920" t="s">
        <v>2728</v>
      </c>
      <c r="B58" s="2921" t="str">
        <f>'预评函-3'!A5</f>
        <v>4.影响价格的其他限定条件：无。</v>
      </c>
    </row>
    <row r="59" spans="1:2" ht="15" thickTop="1">
      <c r="A59" s="2909" t="s">
        <v>2680</v>
      </c>
      <c r="B59" s="2910" t="str">
        <f>'预评函-3'!A8</f>
        <v>2.本《评估意见函》仅供金融机构进行内部审核使用，不做其他目的之用。</v>
      </c>
    </row>
    <row r="60" spans="1:2">
      <c r="A60" s="2898" t="s">
        <v>2681</v>
      </c>
      <c r="B60" s="2899" t="str">
        <f>'预评函-3'!A9</f>
        <v>3.抵押双方在办理抵押登记手续时，应使用本公司出具的正式《土地估价报告》，特提请报告使用者注意。</v>
      </c>
    </row>
    <row r="61" spans="1:2">
      <c r="A61" s="2898" t="s">
        <v>2683</v>
      </c>
      <c r="B61" s="2899" t="str">
        <f>'预评函-3'!A10</f>
        <v>4.估价师所知悉的法定优先受偿款情况为：</v>
      </c>
    </row>
    <row r="62" spans="1:2">
      <c r="A62" s="2898" t="s">
        <v>2682</v>
      </c>
      <c r="B62" s="2899" t="str">
        <f>'预评函-3'!A11</f>
        <v>（1）根据估价对象《不动产权证书》——、《国有土地使用权》——，截至估价期日，估价对象抵押权未见登记。</v>
      </c>
    </row>
    <row r="63" spans="1:2">
      <c r="A63" s="2898" t="s">
        <v>2684</v>
      </c>
      <c r="B63" s="289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8" t="s">
        <v>2685</v>
      </c>
      <c r="B64" s="2904" t="str">
        <f>'预评函-3'!A13</f>
        <v>（3）。</v>
      </c>
    </row>
    <row r="65" spans="1:2">
      <c r="A65" s="2898" t="s">
        <v>2686</v>
      </c>
      <c r="B65" s="2905" t="str">
        <f>'预评函-3'!A14</f>
        <v>综上，本次评估不存在估价师知悉的法定优先受偿款</v>
      </c>
    </row>
    <row r="66" spans="1:2">
      <c r="A66" s="2898" t="s">
        <v>2687</v>
      </c>
      <c r="B66" s="290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8" t="s">
        <v>2688</v>
      </c>
      <c r="B67" s="290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3" customFormat="1" ht="15" thickBot="1">
      <c r="A68" s="2920" t="s">
        <v>2691</v>
      </c>
      <c r="B68" s="2924">
        <f>'预评函-3'!D30</f>
        <v>42558</v>
      </c>
    </row>
    <row r="69" spans="1:2" ht="15" thickTop="1">
      <c r="A69" s="2909" t="s">
        <v>2689</v>
      </c>
      <c r="B69" s="2910" t="str">
        <f>'预评函-3'!A20</f>
        <v>欧红伟</v>
      </c>
    </row>
    <row r="70" spans="1:2">
      <c r="A70" s="2898" t="s">
        <v>2689</v>
      </c>
      <c r="B70" s="2905">
        <f ca="1">'预评函-3'!B20</f>
        <v>2000110082</v>
      </c>
    </row>
    <row r="71" spans="1:2">
      <c r="A71" s="2898" t="s">
        <v>2690</v>
      </c>
      <c r="B71" s="2899" t="str">
        <f>'预评函-3'!A21</f>
        <v>梁津</v>
      </c>
    </row>
    <row r="72" spans="1:2" s="2913" customFormat="1" ht="15" thickBot="1">
      <c r="A72" s="2920" t="s">
        <v>2690</v>
      </c>
      <c r="B72" s="2926">
        <f ca="1">'预评函-3'!B21</f>
        <v>96010014</v>
      </c>
    </row>
    <row r="73" spans="1:2" ht="15" thickTop="1">
      <c r="A73" s="2909" t="s">
        <v>2749</v>
      </c>
      <c r="B73" s="292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8" t="s">
        <v>2750</v>
      </c>
      <c r="B74" s="2906" t="str">
        <f>'预评函-1 (储备)'!A18</f>
        <v>由于本次评估估价目的是评估储备国有建设用地使用权的“抵押价格”，因此本次评估设定土地开发程度为红线外市政基础设施达“七通”、宗地红线内场地平整。</v>
      </c>
    </row>
    <row r="75" spans="1:2" s="2913" customFormat="1" ht="15" thickBot="1">
      <c r="A75" s="2920" t="s">
        <v>2751</v>
      </c>
      <c r="B75" s="292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7" t="s">
        <v>2786</v>
      </c>
      <c r="B76" s="2908"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3" sqref="I23"/>
    </sheetView>
  </sheetViews>
  <sheetFormatPr defaultColWidth="10" defaultRowHeight="14.25"/>
  <cols>
    <col min="1" max="1" width="15.375" style="1685" customWidth="1"/>
    <col min="2" max="2" width="11.375" style="1685" customWidth="1"/>
    <col min="3" max="3" width="12.625" style="1685" customWidth="1"/>
    <col min="4" max="4" width="12" style="1685" customWidth="1"/>
    <col min="5" max="5" width="12.5" style="1685" customWidth="1"/>
    <col min="6" max="6" width="11.375" style="1685" customWidth="1"/>
    <col min="7" max="7" width="12.375" style="1685" customWidth="1"/>
    <col min="8" max="8" width="10" style="1685" customWidth="1"/>
    <col min="9" max="9" width="12.5" style="1687" customWidth="1"/>
    <col min="10" max="10" width="10" style="1685" customWidth="1"/>
    <col min="11" max="11" width="10" style="1767" customWidth="1"/>
    <col min="12" max="13" width="10" style="1686" customWidth="1"/>
    <col min="14" max="14" width="10" style="1685" customWidth="1"/>
    <col min="15" max="15" width="10" style="1687" customWidth="1"/>
    <col min="16" max="17" width="10" style="1685"/>
    <col min="18" max="18" width="10" style="1685" customWidth="1"/>
    <col min="19" max="16384" width="10" style="1685"/>
  </cols>
  <sheetData>
    <row r="1" spans="1:21" ht="15" thickBot="1">
      <c r="A1" s="1653" t="s">
        <v>1933</v>
      </c>
      <c r="B1" s="3280" t="str">
        <f>IF(B10="北京市","北京市",C10)&amp;F10&amp;B16&amp;"国有建设用地使用权"&amp;B9&amp;"预评估"</f>
        <v>天津市河东区六纬路西侧金茂天津河东一热电项目出让国有建设用地使用权抵押价格预评估</v>
      </c>
      <c r="C1" s="3281"/>
      <c r="D1" s="3281"/>
      <c r="E1" s="3281"/>
      <c r="F1" s="3281"/>
      <c r="G1" s="3281"/>
      <c r="H1" s="3281"/>
      <c r="I1" s="3282"/>
      <c r="J1" s="1688"/>
      <c r="K1" s="2473" t="str">
        <f>IF(B10="北京市","北京市",C10)&amp;F10&amp;B16&amp;"国有建设用地使用权"&amp;B9</f>
        <v>天津市河东区六纬路西侧金茂天津河东一热电项目出让国有建设用地使用权抵押价格</v>
      </c>
      <c r="L1" s="1717"/>
      <c r="M1" s="1717"/>
      <c r="N1" s="1688"/>
      <c r="O1" s="1689"/>
      <c r="P1" s="1688"/>
      <c r="Q1" s="1688"/>
      <c r="R1" s="1688"/>
      <c r="S1" s="1688"/>
      <c r="T1" s="1688"/>
      <c r="U1" s="1688"/>
    </row>
    <row r="2" spans="1:21">
      <c r="A2" s="1654" t="s">
        <v>1934</v>
      </c>
      <c r="B2" s="1835"/>
      <c r="D2" s="1688"/>
      <c r="E2" s="1688"/>
      <c r="F2" s="1688"/>
      <c r="G2" s="1688"/>
      <c r="H2" s="1654"/>
      <c r="I2" s="1689"/>
      <c r="J2" s="1688"/>
      <c r="K2" s="2473" t="str">
        <f>IF(B10="北京市","北京市",C10)&amp;F10&amp;B16&amp;"国有建设用地使用权"</f>
        <v>天津市河东区六纬路西侧金茂天津河东一热电项目出让国有建设用地使用权</v>
      </c>
      <c r="L2" s="1717"/>
      <c r="M2" s="1717"/>
      <c r="N2" s="1688"/>
      <c r="O2" s="1689"/>
      <c r="P2" s="1688"/>
      <c r="Q2" s="1688"/>
      <c r="R2" s="1688"/>
      <c r="S2" s="1688"/>
      <c r="T2" s="1688"/>
      <c r="U2" s="1688"/>
    </row>
    <row r="3" spans="1:21">
      <c r="A3" s="1655" t="s">
        <v>1935</v>
      </c>
      <c r="B3" s="1656">
        <v>43035</v>
      </c>
      <c r="C3" s="1657" t="s">
        <v>1990</v>
      </c>
      <c r="D3" s="1656">
        <f>B3</f>
        <v>43035</v>
      </c>
      <c r="E3" s="1688"/>
      <c r="F3" s="1688"/>
      <c r="G3" s="1688"/>
      <c r="H3" s="1654"/>
      <c r="I3" s="1689"/>
      <c r="J3" s="1688"/>
      <c r="K3" s="1768"/>
      <c r="L3" s="1717"/>
      <c r="M3" s="1717"/>
      <c r="N3" s="1688"/>
      <c r="O3" s="1689"/>
      <c r="P3" s="1688"/>
      <c r="Q3" s="1688"/>
      <c r="R3" s="1688"/>
      <c r="S3" s="1688"/>
      <c r="T3" s="1688"/>
      <c r="U3" s="1688"/>
    </row>
    <row r="4" spans="1:21" ht="15" thickBot="1">
      <c r="A4" s="1658" t="s">
        <v>1936</v>
      </c>
      <c r="B4" s="1836" t="s">
        <v>2982</v>
      </c>
      <c r="C4" s="1839">
        <f ca="1">SUMIF(土地估价师,B4,估价师及机构信息!E3:E24)</f>
        <v>2000110082</v>
      </c>
      <c r="D4" s="1836" t="s">
        <v>2983</v>
      </c>
      <c r="E4" s="1839">
        <f ca="1">SUMIF(土地估价师,D4,估价师及机构信息!E3:E24)</f>
        <v>96010014</v>
      </c>
      <c r="F4" s="1836" t="s">
        <v>945</v>
      </c>
      <c r="G4" s="1839">
        <f>SUMIF(土地估价师,F4,估价师及机构信息!E3:E24)</f>
        <v>0</v>
      </c>
      <c r="H4" s="1836" t="s">
        <v>945</v>
      </c>
      <c r="I4" s="1839">
        <f>SUMIF(土地估价师,H4,估价师及机构信息!E3:E24)</f>
        <v>0</v>
      </c>
      <c r="J4" s="1688"/>
      <c r="K4" s="2473" t="str">
        <f>IF(AND(F4="——",H4="——"),B4&amp;"、"&amp;D4,IF(AND(F4&lt;&gt;"——",H4="——"),B4&amp;"、"&amp;D4&amp;"、"&amp;F4,B4&amp;"、"&amp;D4&amp;"、"&amp;F4&amp;"、"&amp;H4))</f>
        <v>欧红伟、梁津</v>
      </c>
      <c r="L4" s="1717"/>
      <c r="M4" s="1717"/>
      <c r="N4" s="1688"/>
      <c r="O4" s="1689"/>
      <c r="P4" s="1688"/>
      <c r="Q4" s="1688"/>
      <c r="R4" s="1688"/>
      <c r="S4" s="1688"/>
      <c r="T4" s="1688"/>
      <c r="U4" s="1688"/>
    </row>
    <row r="5" spans="1:21" ht="15" thickTop="1">
      <c r="A5" s="1659" t="s">
        <v>1937</v>
      </c>
      <c r="B5" s="1783"/>
      <c r="C5" s="1660"/>
      <c r="D5" s="1661"/>
      <c r="E5" s="1688"/>
      <c r="F5" s="1688"/>
      <c r="G5" s="1688"/>
      <c r="H5" s="1654"/>
      <c r="I5" s="1689"/>
      <c r="J5" s="1688"/>
      <c r="K5" s="1768"/>
      <c r="L5" s="1717"/>
      <c r="M5" s="1717"/>
      <c r="N5" s="1688"/>
      <c r="O5" s="1689"/>
      <c r="P5" s="1688"/>
      <c r="Q5" s="1688"/>
      <c r="R5" s="1688"/>
      <c r="S5" s="1688"/>
      <c r="T5" s="1688"/>
      <c r="U5" s="1688"/>
    </row>
    <row r="6" spans="1:21" ht="26.25">
      <c r="A6" s="1657" t="s">
        <v>2705</v>
      </c>
      <c r="B6" s="1783"/>
      <c r="C6" s="1755"/>
      <c r="D6" s="1662"/>
      <c r="E6" s="1688"/>
      <c r="F6" s="1688"/>
      <c r="G6" s="1688"/>
      <c r="H6" s="1654"/>
      <c r="I6" s="1689"/>
      <c r="J6" s="1688"/>
      <c r="K6" s="3074" t="str">
        <f>IF(COUNTIF(B6,"*上海银行*"),"上海银行","")</f>
        <v/>
      </c>
      <c r="L6" s="1717"/>
      <c r="M6" s="1717"/>
      <c r="N6" s="1688"/>
      <c r="O6" s="1689"/>
      <c r="P6" s="1688"/>
      <c r="Q6" s="1688"/>
      <c r="R6" s="1688"/>
      <c r="S6" s="1688"/>
      <c r="T6" s="1688"/>
      <c r="U6" s="1688"/>
    </row>
    <row r="7" spans="1:21">
      <c r="A7" s="1663" t="s">
        <v>2706</v>
      </c>
      <c r="B7" s="1783" t="s">
        <v>3081</v>
      </c>
      <c r="C7" s="1755"/>
      <c r="D7" s="1662"/>
      <c r="E7" s="1688"/>
      <c r="F7" s="1688"/>
      <c r="G7" s="1688"/>
      <c r="H7" s="1654"/>
      <c r="I7" s="1689"/>
      <c r="J7" s="1688"/>
      <c r="K7" s="1768"/>
      <c r="L7" s="1717"/>
      <c r="M7" s="1717"/>
      <c r="N7" s="1688"/>
      <c r="O7" s="1689"/>
      <c r="P7" s="1688"/>
      <c r="Q7" s="1688"/>
      <c r="R7" s="1688"/>
      <c r="S7" s="1688"/>
      <c r="T7" s="1688"/>
      <c r="U7" s="1688"/>
    </row>
    <row r="8" spans="1:21">
      <c r="A8" s="1663" t="s">
        <v>1938</v>
      </c>
      <c r="B8" s="1664" t="s">
        <v>2984</v>
      </c>
      <c r="C8" s="1665"/>
      <c r="D8" s="3286" t="s">
        <v>1940</v>
      </c>
      <c r="E8" s="1837" t="s">
        <v>2985</v>
      </c>
      <c r="F8" s="1666"/>
      <c r="G8" s="1654"/>
      <c r="H8" s="1654"/>
      <c r="I8" s="1701"/>
      <c r="J8" s="1688"/>
      <c r="K8" s="1768"/>
      <c r="L8" s="1717"/>
      <c r="M8" s="1717"/>
      <c r="N8" s="1688"/>
      <c r="O8" s="1689"/>
      <c r="P8" s="1688"/>
      <c r="Q8" s="1688"/>
      <c r="R8" s="1688"/>
      <c r="S8" s="1688"/>
      <c r="T8" s="1688"/>
      <c r="U8" s="1688"/>
    </row>
    <row r="9" spans="1:21" ht="15" thickBot="1">
      <c r="A9" s="1667" t="s">
        <v>1939</v>
      </c>
      <c r="B9" s="1668" t="s">
        <v>2985</v>
      </c>
      <c r="C9" s="1669"/>
      <c r="D9" s="3287"/>
      <c r="E9" s="1668"/>
      <c r="F9" s="1741"/>
      <c r="G9" s="1736"/>
      <c r="H9" s="1736"/>
      <c r="I9" s="1737"/>
      <c r="J9" s="1688"/>
      <c r="K9" s="1768"/>
      <c r="L9" s="1717"/>
      <c r="M9" s="1717"/>
      <c r="N9" s="1688"/>
      <c r="O9" s="1689"/>
      <c r="P9" s="1688"/>
      <c r="Q9" s="1688"/>
      <c r="R9" s="1688"/>
      <c r="S9" s="1688"/>
      <c r="T9" s="1688"/>
      <c r="U9" s="1688"/>
    </row>
    <row r="10" spans="1:21" ht="15" thickTop="1">
      <c r="A10" s="1738" t="s">
        <v>1994</v>
      </c>
      <c r="B10" s="1713" t="s">
        <v>2986</v>
      </c>
      <c r="C10" s="1670" t="s">
        <v>3083</v>
      </c>
      <c r="D10" s="1661"/>
      <c r="E10" s="1671" t="s">
        <v>1942</v>
      </c>
      <c r="F10" s="1672" t="s">
        <v>3084</v>
      </c>
      <c r="G10" s="1739"/>
      <c r="H10" s="1740"/>
      <c r="I10" s="1661"/>
      <c r="J10" s="1688"/>
      <c r="K10" s="1768"/>
      <c r="L10" s="1717"/>
      <c r="M10" s="1717"/>
      <c r="N10" s="1688"/>
      <c r="O10" s="1689"/>
      <c r="P10" s="1688"/>
      <c r="Q10" s="1688"/>
      <c r="R10" s="1688"/>
      <c r="S10" s="1688"/>
      <c r="T10" s="1688"/>
      <c r="U10" s="1688"/>
    </row>
    <row r="11" spans="1:21">
      <c r="A11" s="1691" t="s">
        <v>1995</v>
      </c>
      <c r="B11" s="1692" t="s">
        <v>2987</v>
      </c>
      <c r="C11" s="1673"/>
      <c r="D11" s="1756"/>
      <c r="E11" s="1654"/>
      <c r="F11" s="1654"/>
      <c r="G11" s="1654"/>
      <c r="H11" s="1654"/>
      <c r="I11" s="1654"/>
      <c r="J11" s="1688"/>
      <c r="K11" s="1768"/>
      <c r="L11" s="1717"/>
      <c r="M11" s="1717"/>
      <c r="N11" s="1688"/>
      <c r="O11" s="1689"/>
      <c r="P11" s="1688"/>
      <c r="Q11" s="1688"/>
      <c r="R11" s="1688"/>
      <c r="S11" s="1688"/>
      <c r="T11" s="1688"/>
      <c r="U11" s="1688"/>
    </row>
    <row r="12" spans="1:21">
      <c r="A12" s="1779" t="s">
        <v>2053</v>
      </c>
      <c r="B12" s="3283" t="s">
        <v>3085</v>
      </c>
      <c r="C12" s="3284"/>
      <c r="D12" s="3285"/>
      <c r="E12" s="1693" t="s">
        <v>2056</v>
      </c>
      <c r="F12" s="3301" t="s">
        <v>2988</v>
      </c>
      <c r="G12" s="3302"/>
      <c r="H12" s="3302"/>
      <c r="I12" s="3303"/>
      <c r="J12" s="1688"/>
      <c r="K12" s="1768"/>
      <c r="L12" s="1717"/>
      <c r="M12" s="1717"/>
      <c r="N12" s="1688"/>
      <c r="O12" s="1689"/>
      <c r="P12" s="1688"/>
      <c r="Q12" s="1688"/>
      <c r="R12" s="1688"/>
      <c r="S12" s="1688"/>
      <c r="T12" s="1688"/>
      <c r="U12" s="1688"/>
    </row>
    <row r="13" spans="1:21">
      <c r="A13" s="1681" t="s">
        <v>2054</v>
      </c>
      <c r="B13" s="3283"/>
      <c r="C13" s="3284"/>
      <c r="D13" s="3285"/>
      <c r="E13" s="1693" t="s">
        <v>2056</v>
      </c>
      <c r="F13" s="3301"/>
      <c r="G13" s="3302"/>
      <c r="H13" s="3302"/>
      <c r="I13" s="3303"/>
      <c r="J13" s="1688"/>
      <c r="K13" s="1768"/>
      <c r="L13" s="1717"/>
      <c r="M13" s="1717"/>
      <c r="N13" s="1688"/>
      <c r="O13" s="1689"/>
      <c r="P13" s="1688"/>
      <c r="Q13" s="1688"/>
      <c r="R13" s="1688"/>
      <c r="S13" s="1688"/>
      <c r="T13" s="1688"/>
      <c r="U13" s="1688"/>
    </row>
    <row r="14" spans="1:21">
      <c r="A14" s="1655" t="s">
        <v>2057</v>
      </c>
      <c r="B14" s="1693"/>
      <c r="C14" s="1838" t="s">
        <v>2989</v>
      </c>
      <c r="D14" s="1727" t="str">
        <f>IF(C14="不一致","是否符合证载地类范围","")</f>
        <v/>
      </c>
      <c r="E14" s="1693"/>
      <c r="F14" s="1784"/>
      <c r="G14" s="1722"/>
      <c r="H14" s="1722"/>
      <c r="I14" s="1830"/>
      <c r="J14" s="1688"/>
      <c r="K14" s="1768"/>
      <c r="L14" s="1717"/>
      <c r="M14" s="1717"/>
      <c r="N14" s="1688"/>
      <c r="O14" s="1689"/>
      <c r="P14" s="1688"/>
      <c r="Q14" s="1688"/>
      <c r="R14" s="1688"/>
      <c r="S14" s="1688"/>
      <c r="T14" s="1688"/>
      <c r="U14" s="1688"/>
    </row>
    <row r="15" spans="1:21" hidden="1">
      <c r="A15" s="2664"/>
      <c r="B15" s="1657"/>
      <c r="C15" s="1657"/>
      <c r="D15" s="1760" t="s">
        <v>1945</v>
      </c>
      <c r="E15" s="1760" t="s">
        <v>1946</v>
      </c>
      <c r="F15" s="1760" t="s">
        <v>1947</v>
      </c>
      <c r="G15" s="1680" t="s">
        <v>1948</v>
      </c>
      <c r="H15" s="1680" t="s">
        <v>1949</v>
      </c>
      <c r="I15" s="1680" t="s">
        <v>1950</v>
      </c>
      <c r="J15" s="1688"/>
      <c r="K15" s="1768"/>
      <c r="L15" s="1717"/>
      <c r="M15" s="1717"/>
      <c r="N15" s="1688"/>
      <c r="O15" s="1689"/>
      <c r="P15" s="1688"/>
      <c r="Q15" s="1688"/>
      <c r="R15" s="1688"/>
      <c r="S15" s="1688"/>
      <c r="T15" s="1688"/>
      <c r="U15" s="1688"/>
    </row>
    <row r="16" spans="1:21" ht="42.75">
      <c r="A16" s="1674" t="s">
        <v>1943</v>
      </c>
      <c r="B16" s="1675" t="s">
        <v>2990</v>
      </c>
      <c r="C16" s="1693" t="s">
        <v>1944</v>
      </c>
      <c r="D16" s="2665" t="s">
        <v>1945</v>
      </c>
      <c r="E16" s="1716" t="s">
        <v>2991</v>
      </c>
      <c r="F16" s="1716" t="s">
        <v>1671</v>
      </c>
      <c r="G16" s="1716" t="s">
        <v>35</v>
      </c>
      <c r="H16" s="1716"/>
      <c r="I16" s="1680" t="s">
        <v>1950</v>
      </c>
      <c r="J16" s="1688"/>
      <c r="K16" s="2474" t="str">
        <f>IF(D17="","",D16&amp;TEXT(D17,"yyyy年m月d日;;"))</f>
        <v>住宅2087年6月25日</v>
      </c>
      <c r="L16" s="1693" t="str">
        <f>IF(OR(K16="",M16=""),"","、")</f>
        <v>、</v>
      </c>
      <c r="M16" s="2474" t="str">
        <f>IF(E17="","",E16&amp;TEXT(E17,"yyyy年m月d日;;"))</f>
        <v>商业2057年6月25日</v>
      </c>
      <c r="N16" s="1693" t="str">
        <f>IF(OR(M16="",O16=""),"","、")</f>
        <v>、</v>
      </c>
      <c r="O16" s="2474" t="str">
        <f>IF(F17="","",F16&amp;TEXT(F17,"yyyy年m月d日;;"))</f>
        <v>办公2067年6月25日</v>
      </c>
      <c r="P16" s="1693" t="str">
        <f>IF(OR(O16="",Q16=""),"","、")</f>
        <v>、</v>
      </c>
      <c r="Q16" s="2474" t="str">
        <f>IF(G17="","",G16&amp;TEXT(G17,"yyyy年m月d日;;"))</f>
        <v>地下车库2067年6月25日</v>
      </c>
      <c r="R16" s="1693" t="str">
        <f>IF(OR(Q16="",S16=""),"","、")</f>
        <v/>
      </c>
      <c r="S16" s="2474" t="str">
        <f>IF(H17="","",H16&amp;TEXT(H17,"yyyy年m月d日;;"))</f>
        <v/>
      </c>
      <c r="T16" s="1693" t="str">
        <f>IF(OR(S16="",U16=""),"","、")</f>
        <v/>
      </c>
      <c r="U16" s="2474" t="str">
        <f>IF(I17="","",I16&amp;TEXT(I17,"yyyy年m月d日;;"))</f>
        <v/>
      </c>
    </row>
    <row r="17" spans="1:21">
      <c r="A17" s="1757"/>
      <c r="B17" s="1676"/>
      <c r="C17" s="1677" t="s">
        <v>1951</v>
      </c>
      <c r="D17" s="1694">
        <v>68478</v>
      </c>
      <c r="E17" s="1694">
        <v>57521</v>
      </c>
      <c r="F17" s="1694">
        <v>61173</v>
      </c>
      <c r="G17" s="1694">
        <f>F17</f>
        <v>61173</v>
      </c>
      <c r="H17" s="1694"/>
      <c r="I17" s="1694"/>
      <c r="J17" s="1688"/>
      <c r="K17" s="2473" t="str">
        <f>CONCATENATE(K16,L16,M16,N16,O16,P16,Q16,R16,S16,T16,,U16)</f>
        <v>住宅2087年6月25日、商业2057年6月25日、办公2067年6月25日、地下车库2067年6月25日</v>
      </c>
      <c r="L17" s="1717"/>
      <c r="M17" s="1717"/>
      <c r="N17" s="1688"/>
      <c r="O17" s="1689"/>
      <c r="P17" s="1688"/>
      <c r="Q17" s="1688"/>
      <c r="R17" s="1688"/>
      <c r="S17" s="1688"/>
      <c r="T17" s="1688"/>
      <c r="U17" s="1688"/>
    </row>
    <row r="18" spans="1:21">
      <c r="A18" s="1757"/>
      <c r="B18" s="1676"/>
      <c r="C18" s="1677" t="s">
        <v>1952</v>
      </c>
      <c r="D18" s="1678">
        <v>70</v>
      </c>
      <c r="E18" s="1678">
        <v>40</v>
      </c>
      <c r="F18" s="1678">
        <v>50</v>
      </c>
      <c r="G18" s="1678">
        <v>50</v>
      </c>
      <c r="H18" s="1678"/>
      <c r="I18" s="1678"/>
      <c r="J18" s="1688"/>
      <c r="K18" s="1768"/>
      <c r="L18" s="1717"/>
      <c r="M18" s="1717"/>
      <c r="N18" s="1688"/>
      <c r="O18" s="1689"/>
      <c r="P18" s="1688"/>
      <c r="Q18" s="1688"/>
      <c r="R18" s="1688"/>
      <c r="S18" s="1688"/>
      <c r="T18" s="1688"/>
      <c r="U18" s="1688"/>
    </row>
    <row r="19" spans="1:21">
      <c r="A19" s="1757"/>
      <c r="B19" s="1676"/>
      <c r="C19" s="1654" t="s">
        <v>1953</v>
      </c>
      <c r="D19" s="1752">
        <f>IF(B16="出让",IF(D17="","",ROUNDDOWN(MIN((D17-$D$3)/365,D18),2)),D18)</f>
        <v>69.7</v>
      </c>
      <c r="E19" s="1679">
        <f>IF(B16="出让",IF(E17="","",ROUNDDOWN(MIN((E17-$D$3)/365,E18),2)),E18)</f>
        <v>39.68</v>
      </c>
      <c r="F19" s="1679">
        <f>IF(B16="出让",IF(F17="","",ROUNDDOWN(MIN((F17-$D$3)/365,F18),2)),F18)</f>
        <v>49.69</v>
      </c>
      <c r="G19" s="1679">
        <f>IF(B16="出让",IF(G17="","",ROUNDDOWN(MIN((G17-$D$3)/365,G18),2)),G18)</f>
        <v>49.69</v>
      </c>
      <c r="H19" s="1679" t="str">
        <f>IF(B16="出让",IF(H17="","",ROUNDDOWN(MIN((H17-$D$3)/365,H18),2)),H18)</f>
        <v/>
      </c>
      <c r="I19" s="1679" t="str">
        <f>IF(B16="出让",IF(I17="","",ROUNDDOWN(MIN((I17-$D$3)/365,I18),2)),I18)</f>
        <v/>
      </c>
      <c r="J19" s="1688"/>
      <c r="K19" s="1768"/>
      <c r="L19" s="1717"/>
      <c r="M19" s="1717"/>
      <c r="N19" s="1688"/>
      <c r="O19" s="1689"/>
      <c r="P19" s="1688"/>
      <c r="Q19" s="1688"/>
      <c r="R19" s="1688"/>
      <c r="S19" s="1688"/>
      <c r="T19" s="1688"/>
      <c r="U19" s="1688"/>
    </row>
    <row r="20" spans="1:21">
      <c r="A20" s="1780"/>
      <c r="B20" s="1781"/>
      <c r="C20" s="1782" t="s">
        <v>2055</v>
      </c>
      <c r="D20" s="3298"/>
      <c r="E20" s="3299"/>
      <c r="F20" s="3299"/>
      <c r="G20" s="3299"/>
      <c r="H20" s="3299"/>
      <c r="I20" s="3300"/>
      <c r="J20" s="1688"/>
      <c r="K20" s="1768"/>
      <c r="L20" s="1717"/>
      <c r="M20" s="1717"/>
      <c r="N20" s="1688"/>
      <c r="O20" s="1689"/>
      <c r="P20" s="1688"/>
      <c r="Q20" s="1688"/>
      <c r="R20" s="1688"/>
      <c r="S20" s="1688"/>
      <c r="T20" s="1688"/>
      <c r="U20" s="1688"/>
    </row>
    <row r="21" spans="1:21">
      <c r="A21" s="1757" t="s">
        <v>1954</v>
      </c>
      <c r="B21" s="1758" t="s">
        <v>1955</v>
      </c>
      <c r="C21" s="1753">
        <f>'数据-汇总表'!E3</f>
        <v>412759.99</v>
      </c>
      <c r="D21" s="1754" t="s">
        <v>1956</v>
      </c>
      <c r="E21" s="3288" t="s">
        <v>1993</v>
      </c>
      <c r="F21" s="3289"/>
      <c r="G21" s="3289"/>
      <c r="H21" s="3289"/>
      <c r="I21" s="3290"/>
      <c r="J21" s="1688"/>
      <c r="K21" s="1768"/>
      <c r="L21" s="1717"/>
      <c r="M21" s="1717"/>
      <c r="N21" s="1688"/>
      <c r="O21" s="1689"/>
      <c r="P21" s="1688"/>
      <c r="Q21" s="1688"/>
      <c r="R21" s="1688"/>
      <c r="S21" s="1688"/>
      <c r="T21" s="1688"/>
      <c r="U21" s="1688"/>
    </row>
    <row r="22" spans="1:21">
      <c r="A22" s="2656" t="s">
        <v>945</v>
      </c>
      <c r="B22" s="1655" t="s">
        <v>1957</v>
      </c>
      <c r="C22" s="1680">
        <f>'数据-汇总表'!D3</f>
        <v>121315.1</v>
      </c>
      <c r="D22" s="1681" t="s">
        <v>1956</v>
      </c>
      <c r="E22" s="3288" t="s">
        <v>2888</v>
      </c>
      <c r="F22" s="3289"/>
      <c r="G22" s="3289"/>
      <c r="H22" s="3289"/>
      <c r="I22" s="3290"/>
      <c r="J22" s="1688"/>
      <c r="K22" s="1768"/>
      <c r="L22" s="1717"/>
      <c r="M22" s="1717"/>
      <c r="N22" s="1688"/>
      <c r="O22" s="1689"/>
      <c r="P22" s="1688"/>
      <c r="Q22" s="1688"/>
      <c r="R22" s="1688"/>
      <c r="S22" s="1688"/>
      <c r="T22" s="1688"/>
      <c r="U22" s="1688"/>
    </row>
    <row r="23" spans="1:21" ht="43.5" thickBot="1">
      <c r="A23" s="1759" t="s">
        <v>1958</v>
      </c>
      <c r="B23" s="1695" t="s">
        <v>1959</v>
      </c>
      <c r="C23" s="1696" t="s">
        <v>2992</v>
      </c>
      <c r="D23" s="1697" t="s">
        <v>1960</v>
      </c>
      <c r="E23" s="1698"/>
      <c r="F23" s="1699" t="str">
        <f>IF(AND(C23="是",E23="否"),"是否提供他项权证或相关说明","")</f>
        <v/>
      </c>
      <c r="G23" s="1700"/>
      <c r="H23" s="1688"/>
      <c r="I23" s="1701"/>
      <c r="J23" s="1688"/>
      <c r="K23" s="1768"/>
      <c r="L23" s="1717"/>
      <c r="M23" s="1717"/>
      <c r="N23" s="1688"/>
      <c r="O23" s="1689"/>
      <c r="P23" s="1688"/>
      <c r="Q23" s="1688"/>
      <c r="R23" s="1688"/>
      <c r="S23" s="1688"/>
      <c r="T23" s="1688"/>
      <c r="U23" s="1688"/>
    </row>
    <row r="24" spans="1:21">
      <c r="A24" s="1744" t="s">
        <v>1961</v>
      </c>
      <c r="B24" s="3291" t="s">
        <v>1962</v>
      </c>
      <c r="C24" s="3292"/>
      <c r="D24" s="3293" t="s">
        <v>1963</v>
      </c>
      <c r="E24" s="3294"/>
      <c r="F24" s="1702" t="s">
        <v>1964</v>
      </c>
      <c r="G24" s="1688"/>
      <c r="H24" s="1688"/>
      <c r="I24" s="1701"/>
      <c r="J24" s="1688"/>
      <c r="K24" s="3279" t="s">
        <v>1965</v>
      </c>
      <c r="L24" s="2475" t="str">
        <f>"根据估价对象"&amp;IF(B26="——",B25&amp;C25,B25&amp;C25&amp;"、"&amp;B26&amp;C26)&amp;"，"&amp;IF(C23="是","截至估价期日，估价对象已设定抵押。","截至估价期日，估价对象抵押权未见登记。")</f>
        <v>根据估价对象《不动产权证书》——、《国有土地使用权》——，截至估价期日，估价对象抵押权未见登记。</v>
      </c>
      <c r="M24" s="1717"/>
      <c r="N24" s="1688"/>
      <c r="O24" s="1689"/>
      <c r="P24" s="1688"/>
      <c r="Q24" s="1688"/>
      <c r="R24" s="1688"/>
      <c r="S24" s="1688"/>
      <c r="T24" s="1688"/>
      <c r="U24" s="1688"/>
    </row>
    <row r="25" spans="1:21" ht="28.5">
      <c r="A25" s="1745"/>
      <c r="B25" s="1742" t="s">
        <v>2320</v>
      </c>
      <c r="C25" s="1703" t="s">
        <v>945</v>
      </c>
      <c r="D25" s="1704"/>
      <c r="E25" s="1705" t="s">
        <v>945</v>
      </c>
      <c r="F25" s="1706"/>
      <c r="G25" s="1688"/>
      <c r="H25" s="1688"/>
      <c r="I25" s="1701"/>
      <c r="J25" s="1688"/>
      <c r="K25" s="3279"/>
      <c r="L25" s="247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7"/>
      <c r="N25" s="1688"/>
      <c r="O25" s="1689"/>
      <c r="P25" s="1688"/>
      <c r="Q25" s="1688"/>
      <c r="R25" s="1688"/>
      <c r="S25" s="1688"/>
      <c r="T25" s="1688"/>
      <c r="U25" s="1688"/>
    </row>
    <row r="26" spans="1:21" ht="29.25" thickBot="1">
      <c r="A26" s="1746"/>
      <c r="B26" s="1743" t="s">
        <v>1966</v>
      </c>
      <c r="C26" s="1703" t="s">
        <v>945</v>
      </c>
      <c r="D26" s="1654"/>
      <c r="E26" s="1654"/>
      <c r="F26" s="1682"/>
      <c r="G26" s="1688"/>
      <c r="H26" s="1688"/>
      <c r="I26" s="1701"/>
      <c r="J26" s="1688"/>
      <c r="K26" s="3279"/>
      <c r="L26" s="247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7"/>
      <c r="N26" s="1688"/>
      <c r="O26" s="1689"/>
      <c r="P26" s="1688"/>
      <c r="Q26" s="1688"/>
      <c r="R26" s="1688"/>
      <c r="S26" s="1688"/>
      <c r="T26" s="1688"/>
      <c r="U26" s="1688"/>
    </row>
    <row r="27" spans="1:21">
      <c r="A27" s="1749" t="s">
        <v>1967</v>
      </c>
      <c r="B27" s="1747" t="s">
        <v>1968</v>
      </c>
      <c r="C27" s="1707"/>
      <c r="D27" s="2670" t="s">
        <v>1968</v>
      </c>
      <c r="E27" s="1708"/>
      <c r="F27" s="1682"/>
      <c r="G27" s="1688"/>
      <c r="H27" s="1688"/>
      <c r="I27" s="1701"/>
      <c r="J27" s="1688"/>
      <c r="K27" s="1768"/>
      <c r="L27" s="1717"/>
      <c r="M27" s="1717"/>
      <c r="N27" s="1688"/>
      <c r="O27" s="1689"/>
      <c r="P27" s="1688"/>
      <c r="Q27" s="1688"/>
      <c r="R27" s="1688"/>
      <c r="S27" s="1688"/>
      <c r="T27" s="1688"/>
      <c r="U27" s="1688"/>
    </row>
    <row r="28" spans="1:21">
      <c r="A28" s="1750"/>
      <c r="B28" s="1747" t="s">
        <v>1969</v>
      </c>
      <c r="C28" s="1709"/>
      <c r="D28" s="2671" t="s">
        <v>1969</v>
      </c>
      <c r="E28" s="1710"/>
      <c r="F28" s="1682"/>
      <c r="G28" s="1688"/>
      <c r="H28" s="1688"/>
      <c r="I28" s="1701"/>
      <c r="J28" s="1688"/>
      <c r="K28" s="1768"/>
      <c r="L28" s="1717"/>
      <c r="M28" s="1717"/>
      <c r="N28" s="1688"/>
      <c r="O28" s="1689"/>
      <c r="P28" s="1688"/>
      <c r="Q28" s="1688"/>
      <c r="R28" s="1688"/>
      <c r="S28" s="1688"/>
      <c r="T28" s="1688"/>
      <c r="U28" s="1688"/>
    </row>
    <row r="29" spans="1:21">
      <c r="A29" s="1750"/>
      <c r="B29" s="1747" t="s">
        <v>1970</v>
      </c>
      <c r="C29" s="1709"/>
      <c r="D29" s="2671" t="s">
        <v>1970</v>
      </c>
      <c r="E29" s="1710"/>
      <c r="F29" s="1682"/>
      <c r="G29" s="1688"/>
      <c r="H29" s="1688"/>
      <c r="I29" s="1701"/>
      <c r="J29" s="1688"/>
      <c r="K29" s="1768"/>
      <c r="L29" s="1717"/>
      <c r="M29" s="1717"/>
      <c r="N29" s="1688"/>
      <c r="O29" s="1689"/>
      <c r="P29" s="1688"/>
      <c r="Q29" s="1688"/>
      <c r="R29" s="1688"/>
      <c r="S29" s="1688"/>
      <c r="T29" s="1688"/>
      <c r="U29" s="1688"/>
    </row>
    <row r="30" spans="1:21" ht="15" thickBot="1">
      <c r="A30" s="1751"/>
      <c r="B30" s="1748" t="s">
        <v>1971</v>
      </c>
      <c r="C30" s="1711"/>
      <c r="D30" s="2672" t="s">
        <v>1971</v>
      </c>
      <c r="E30" s="1712"/>
      <c r="F30" s="1683"/>
      <c r="G30" s="1736"/>
      <c r="H30" s="1736"/>
      <c r="I30" s="1737"/>
      <c r="J30" s="1688"/>
      <c r="K30" s="1768"/>
      <c r="L30" s="1717"/>
      <c r="M30" s="1717"/>
      <c r="N30" s="1688"/>
      <c r="O30" s="1689"/>
      <c r="P30" s="1688"/>
      <c r="Q30" s="1688"/>
      <c r="R30" s="1688"/>
      <c r="S30" s="1688"/>
      <c r="T30" s="1688"/>
      <c r="U30" s="1688"/>
    </row>
    <row r="31" spans="1:21" ht="15" thickTop="1">
      <c r="A31" s="3306" t="s">
        <v>1996</v>
      </c>
      <c r="B31" s="1758" t="s">
        <v>1997</v>
      </c>
      <c r="C31" s="3304"/>
      <c r="D31" s="3305"/>
      <c r="E31" s="1688"/>
      <c r="F31" s="1688"/>
      <c r="G31" s="1688"/>
      <c r="H31" s="1688"/>
      <c r="I31" s="1701"/>
      <c r="J31" s="1688"/>
      <c r="K31" s="2476"/>
      <c r="L31" s="1688"/>
      <c r="M31" s="1688"/>
      <c r="N31" s="1688"/>
      <c r="O31" s="1688"/>
      <c r="P31" s="1688"/>
      <c r="Q31" s="1688"/>
      <c r="R31" s="1688"/>
      <c r="S31" s="1688"/>
      <c r="T31" s="1688"/>
      <c r="U31" s="1688"/>
    </row>
    <row r="32" spans="1:21">
      <c r="A32" s="3306"/>
      <c r="B32" s="1655" t="s">
        <v>1998</v>
      </c>
      <c r="C32" s="1713"/>
      <c r="D32" s="1714"/>
      <c r="E32" s="1688"/>
      <c r="F32" s="1688"/>
      <c r="G32" s="1688"/>
      <c r="H32" s="1688"/>
      <c r="I32" s="1701"/>
      <c r="J32" s="1688"/>
      <c r="K32" s="2476"/>
      <c r="L32" s="1688"/>
      <c r="M32" s="1688"/>
      <c r="N32" s="1688"/>
      <c r="O32" s="1688"/>
      <c r="P32" s="1688"/>
      <c r="Q32" s="1688"/>
      <c r="R32" s="1688"/>
      <c r="S32" s="1688"/>
      <c r="T32" s="1688"/>
      <c r="U32" s="1688"/>
    </row>
    <row r="33" spans="1:21">
      <c r="A33" s="3306"/>
      <c r="B33" s="1655" t="s">
        <v>1999</v>
      </c>
      <c r="C33" s="1715"/>
      <c r="D33" s="1831"/>
      <c r="E33" s="1688"/>
      <c r="F33" s="1688"/>
      <c r="G33" s="1688"/>
      <c r="H33" s="1688"/>
      <c r="I33" s="1701"/>
      <c r="J33" s="1688"/>
      <c r="K33" s="2476"/>
      <c r="L33" s="1688"/>
      <c r="M33" s="1688"/>
      <c r="N33" s="1688"/>
      <c r="O33" s="1688"/>
      <c r="P33" s="1688"/>
      <c r="Q33" s="1688"/>
      <c r="R33" s="1688"/>
      <c r="S33" s="1688"/>
      <c r="T33" s="1688"/>
      <c r="U33" s="1688"/>
    </row>
    <row r="34" spans="1:21">
      <c r="A34" s="3307"/>
      <c r="B34" s="1655" t="s">
        <v>2000</v>
      </c>
      <c r="C34" s="3308"/>
      <c r="D34" s="3309"/>
      <c r="E34" s="1688"/>
      <c r="F34" s="1688"/>
      <c r="G34" s="1688"/>
      <c r="H34" s="1688"/>
      <c r="I34" s="1701"/>
      <c r="J34" s="1688"/>
      <c r="K34" s="2476"/>
      <c r="L34" s="1688"/>
      <c r="M34" s="1688"/>
      <c r="N34" s="1688"/>
      <c r="O34" s="1688"/>
      <c r="P34" s="1688"/>
      <c r="Q34" s="1688"/>
      <c r="R34" s="1688"/>
      <c r="S34" s="1688"/>
      <c r="T34" s="1688"/>
      <c r="U34" s="1688"/>
    </row>
    <row r="35" spans="1:21">
      <c r="A35" s="3310" t="s">
        <v>840</v>
      </c>
      <c r="B35" s="1716"/>
      <c r="C35" s="1770" t="str">
        <f>IF(B35="场地平整","——","具体情况：")</f>
        <v>具体情况：</v>
      </c>
      <c r="D35" s="3312"/>
      <c r="E35" s="3313"/>
      <c r="F35" s="3313"/>
      <c r="G35" s="3313"/>
      <c r="H35" s="3313"/>
      <c r="I35" s="3314"/>
      <c r="J35" s="1688"/>
      <c r="K35" s="1769"/>
      <c r="L35" s="1717"/>
      <c r="M35" s="1717"/>
      <c r="N35" s="1688"/>
      <c r="O35" s="1689"/>
      <c r="P35" s="1688"/>
      <c r="Q35" s="1688"/>
      <c r="R35" s="1688"/>
      <c r="S35" s="1688"/>
      <c r="T35" s="1688"/>
      <c r="U35" s="1688"/>
    </row>
    <row r="36" spans="1:21">
      <c r="A36" s="3306"/>
      <c r="B36" s="3315" t="s">
        <v>2049</v>
      </c>
      <c r="C36" s="3316"/>
      <c r="D36" s="1786"/>
      <c r="E36" s="3317"/>
      <c r="F36" s="3317"/>
      <c r="G36" s="1681" t="str">
        <f>IF(B35="场地未平整","估价结果处理","")</f>
        <v/>
      </c>
      <c r="H36" s="3318"/>
      <c r="I36" s="3318"/>
      <c r="J36" s="1688"/>
      <c r="K36" s="1769"/>
      <c r="L36" s="1717"/>
      <c r="M36" s="1717"/>
      <c r="N36" s="1688"/>
      <c r="O36" s="1689"/>
      <c r="P36" s="1688"/>
      <c r="Q36" s="1688"/>
      <c r="R36" s="1688"/>
      <c r="S36" s="1688"/>
      <c r="T36" s="1688"/>
      <c r="U36" s="1688"/>
    </row>
    <row r="37" spans="1:21" ht="28.5">
      <c r="A37" s="3306"/>
      <c r="B37" s="3295" t="s">
        <v>841</v>
      </c>
      <c r="C37" s="1718" t="s">
        <v>842</v>
      </c>
      <c r="D37" s="1719"/>
      <c r="E37" s="1720"/>
      <c r="F37" s="1688"/>
      <c r="G37" s="1688"/>
      <c r="H37" s="1688"/>
      <c r="I37" s="1701"/>
      <c r="J37" s="1688"/>
      <c r="K37" s="1769"/>
      <c r="L37" s="1688"/>
      <c r="M37" s="1688"/>
      <c r="N37" s="1688"/>
      <c r="O37" s="1688"/>
      <c r="P37" s="1688"/>
      <c r="Q37" s="1688"/>
      <c r="R37" s="1688"/>
      <c r="S37" s="1688"/>
      <c r="T37" s="1688"/>
      <c r="U37" s="1688"/>
    </row>
    <row r="38" spans="1:21">
      <c r="A38" s="3306"/>
      <c r="B38" s="3296"/>
      <c r="C38" s="1663" t="s">
        <v>843</v>
      </c>
      <c r="D38" s="1785">
        <f>ROUNDDOWN(MIN(('数据-取费表'!$B$2-D37)/365,D34),1)</f>
        <v>117.9</v>
      </c>
      <c r="E38" s="1721" t="s">
        <v>844</v>
      </c>
      <c r="F38" s="1688"/>
      <c r="G38" s="1688"/>
      <c r="H38" s="1688"/>
      <c r="I38" s="1701"/>
      <c r="J38" s="1688"/>
      <c r="K38" s="1769"/>
      <c r="L38" s="1688"/>
      <c r="M38" s="1688"/>
      <c r="N38" s="1688"/>
      <c r="O38" s="1688"/>
      <c r="P38" s="1688"/>
      <c r="Q38" s="1688"/>
      <c r="R38" s="1688"/>
      <c r="S38" s="1688"/>
      <c r="T38" s="1688"/>
      <c r="U38" s="1688"/>
    </row>
    <row r="39" spans="1:21">
      <c r="A39" s="3307"/>
      <c r="B39" s="3297"/>
      <c r="C39" s="1691" t="str">
        <f>IF(D38&lt;1,"不存在土地闲置",IF(B35="宗地内已开工建设","已开工，不存在土地闲置","估价对象已涉嫌土地闲置"))</f>
        <v>估价对象已涉嫌土地闲置</v>
      </c>
      <c r="D39" s="1722"/>
      <c r="E39" s="1723"/>
      <c r="F39" s="1688"/>
      <c r="G39" s="1688"/>
      <c r="H39" s="1688"/>
      <c r="I39" s="1701"/>
      <c r="J39" s="1688"/>
      <c r="K39" s="1768"/>
      <c r="L39" s="1717"/>
      <c r="M39" s="1717"/>
      <c r="N39" s="1688"/>
      <c r="O39" s="1689"/>
      <c r="P39" s="1688"/>
      <c r="Q39" s="1688"/>
      <c r="R39" s="1688"/>
      <c r="S39" s="1688"/>
      <c r="T39" s="1688"/>
      <c r="U39" s="1688"/>
    </row>
    <row r="40" spans="1:21">
      <c r="A40" s="1681" t="s">
        <v>1972</v>
      </c>
      <c r="B40" s="1684" t="s">
        <v>2993</v>
      </c>
      <c r="C40" s="1684" t="s">
        <v>2994</v>
      </c>
      <c r="D40" s="1684" t="s">
        <v>2995</v>
      </c>
      <c r="E40" s="1684" t="s">
        <v>2996</v>
      </c>
      <c r="F40" s="1684" t="s">
        <v>2997</v>
      </c>
      <c r="G40" s="1684" t="s">
        <v>2998</v>
      </c>
      <c r="H40" s="1684"/>
      <c r="I40" s="1701"/>
      <c r="J40" s="1688"/>
      <c r="K40" s="1724">
        <f>COUNTIF(B40:H40,"——")</f>
        <v>0</v>
      </c>
      <c r="L40" s="1693" t="s">
        <v>1973</v>
      </c>
      <c r="M40" s="1690" t="s">
        <v>1974</v>
      </c>
      <c r="N40" s="1690" t="s">
        <v>1975</v>
      </c>
      <c r="O40" s="1690" t="s">
        <v>1976</v>
      </c>
      <c r="P40" s="1690" t="s">
        <v>1977</v>
      </c>
      <c r="Q40" s="1690" t="s">
        <v>1978</v>
      </c>
      <c r="R40" s="1690" t="s">
        <v>1979</v>
      </c>
      <c r="S40" s="3278" t="s">
        <v>1980</v>
      </c>
      <c r="T40" s="1725" t="str">
        <f>NUMBERSTRING(7-K40,1)&amp;"通"</f>
        <v>七通</v>
      </c>
      <c r="U40" s="1688"/>
    </row>
    <row r="41" spans="1:21">
      <c r="A41" s="1657"/>
      <c r="B41" s="3311" t="s">
        <v>1715</v>
      </c>
      <c r="C41" s="3311"/>
      <c r="D41" s="3311"/>
      <c r="E41" s="3311"/>
      <c r="F41" s="1726" t="str">
        <f>C10</f>
        <v>天津市</v>
      </c>
      <c r="G41" s="1688"/>
      <c r="H41" s="1688"/>
      <c r="I41" s="1701"/>
      <c r="J41" s="1688"/>
      <c r="K41" s="1693"/>
      <c r="L41" s="1690" t="str">
        <f>B40</f>
        <v>通路</v>
      </c>
      <c r="M41" s="1727" t="str">
        <f>B40&amp;"、"&amp;C40</f>
        <v>通路、通电</v>
      </c>
      <c r="N41" s="1728" t="str">
        <f>B40&amp;"、"&amp;C40&amp;"、"&amp;D40</f>
        <v>通路、通电、通讯</v>
      </c>
      <c r="O41" s="1728" t="str">
        <f>B40&amp;"、"&amp;C40&amp;"、"&amp;D40&amp;"、"&amp;E40</f>
        <v>通路、通电、通讯、通上水</v>
      </c>
      <c r="P41" s="1728" t="str">
        <f>B40&amp;"、"&amp;C40&amp;"、"&amp;D40&amp;"、"&amp;E40&amp;"、"&amp;F40</f>
        <v>通路、通电、通讯、通上水、通下水</v>
      </c>
      <c r="Q41" s="1728" t="str">
        <f>B40&amp;"、"&amp;C40&amp;"、"&amp;D40&amp;"、"&amp;E40&amp;"、"&amp;F40&amp;"、"&amp;G40</f>
        <v>通路、通电、通讯、通上水、通下水、燃气</v>
      </c>
      <c r="R41" s="1728" t="str">
        <f>B40&amp;"、"&amp;C40&amp;"、"&amp;D40&amp;"、"&amp;E40&amp;"、"&amp;F40&amp;"、"&amp;G40&amp;"、"&amp;H40</f>
        <v>通路、通电、通讯、通上水、通下水、燃气、</v>
      </c>
      <c r="S41" s="3278"/>
      <c r="T41" s="1727" t="str">
        <f>IF(T40="一通",L41,IF(T40="二通",M41,IF(T40="三通",N41,IF(T40="四通",O41,IF(T40="五通",P41,IF(T40="六通",Q41,R41))))))</f>
        <v>通路、通电、通讯、通上水、通下水、燃气、</v>
      </c>
      <c r="U41" s="1688"/>
    </row>
    <row r="42" spans="1:21">
      <c r="A42" s="1729"/>
      <c r="B42" s="1760" t="s">
        <v>1891</v>
      </c>
      <c r="C42" s="1760" t="s">
        <v>1892</v>
      </c>
      <c r="D42" s="1760" t="s">
        <v>1893</v>
      </c>
      <c r="E42" s="1693" t="s">
        <v>1894</v>
      </c>
      <c r="F42" s="1730"/>
      <c r="G42" s="1688"/>
      <c r="H42" s="1688"/>
      <c r="I42" s="1701"/>
      <c r="J42" s="1688"/>
      <c r="K42" s="1768"/>
      <c r="L42" s="1717"/>
      <c r="M42" s="1717"/>
      <c r="N42" s="1688"/>
      <c r="O42" s="1689"/>
      <c r="P42" s="1688"/>
      <c r="Q42" s="1688"/>
      <c r="R42" s="1688"/>
      <c r="S42" s="1688"/>
      <c r="T42" s="1688"/>
      <c r="U42" s="1688"/>
    </row>
    <row r="43" spans="1:21">
      <c r="A43" s="1731" t="s">
        <v>1700</v>
      </c>
      <c r="B43" s="1732"/>
      <c r="C43" s="1732"/>
      <c r="D43" s="1732"/>
      <c r="E43" s="1732"/>
      <c r="F43" s="1733"/>
      <c r="G43" s="1688"/>
      <c r="H43" s="1688"/>
      <c r="I43" s="1701"/>
      <c r="J43" s="1688"/>
      <c r="K43" s="1768"/>
      <c r="L43" s="1717"/>
      <c r="M43" s="1717"/>
      <c r="N43" s="1688"/>
      <c r="O43" s="1689"/>
      <c r="P43" s="1688"/>
      <c r="Q43" s="1688"/>
      <c r="R43" s="1688"/>
      <c r="S43" s="1688"/>
      <c r="T43" s="1688"/>
      <c r="U43" s="1688"/>
    </row>
    <row r="44" spans="1:21">
      <c r="A44" s="1731" t="s">
        <v>1701</v>
      </c>
      <c r="B44" s="1732"/>
      <c r="C44" s="1732"/>
      <c r="D44" s="1732"/>
      <c r="E44" s="1786"/>
      <c r="F44" s="1733"/>
      <c r="G44" s="1688"/>
      <c r="H44" s="1688"/>
      <c r="I44" s="1701"/>
      <c r="J44" s="1688"/>
      <c r="K44" s="1768"/>
      <c r="L44" s="1717"/>
      <c r="M44" s="1717"/>
      <c r="N44" s="1688"/>
      <c r="O44" s="1689"/>
      <c r="P44" s="1688"/>
      <c r="Q44" s="1688"/>
      <c r="R44" s="1688"/>
      <c r="S44" s="1688"/>
      <c r="T44" s="1688"/>
      <c r="U44" s="1688"/>
    </row>
    <row r="45" spans="1:21" s="3091" customFormat="1" ht="21" thickBot="1">
      <c r="A45" s="3092" t="s">
        <v>2889</v>
      </c>
      <c r="B45" s="3087"/>
      <c r="C45" s="3087"/>
      <c r="D45" s="3087"/>
      <c r="E45" s="3087"/>
      <c r="F45" s="3087"/>
      <c r="G45" s="3087"/>
      <c r="H45" s="3087"/>
      <c r="I45" s="3088"/>
      <c r="J45" s="3087"/>
      <c r="K45" s="3089"/>
      <c r="L45" s="3090"/>
      <c r="M45" s="3090"/>
      <c r="N45" s="3087"/>
      <c r="O45" s="3088"/>
      <c r="P45" s="3087"/>
      <c r="Q45" s="3087"/>
      <c r="R45" s="3087"/>
      <c r="S45" s="3087"/>
      <c r="T45" s="3087"/>
      <c r="U45" s="3087"/>
    </row>
    <row r="46" spans="1:21">
      <c r="A46" s="1688"/>
      <c r="B46" s="1688"/>
      <c r="C46" s="1688"/>
      <c r="D46" s="1688"/>
      <c r="E46" s="1688"/>
      <c r="F46" s="1688"/>
      <c r="G46" s="1688"/>
      <c r="H46" s="1688"/>
      <c r="I46" s="1701"/>
      <c r="J46" s="1688"/>
      <c r="K46" s="1768"/>
      <c r="L46" s="1717"/>
      <c r="M46" s="1717"/>
      <c r="N46" s="1688"/>
      <c r="O46" s="1689"/>
      <c r="P46" s="1688"/>
      <c r="Q46" s="1688"/>
      <c r="R46" s="1688"/>
      <c r="S46" s="1688"/>
      <c r="T46" s="1688"/>
      <c r="U46" s="1688"/>
    </row>
    <row r="47" spans="1:21">
      <c r="A47" s="1734" t="s">
        <v>2001</v>
      </c>
      <c r="B47" s="1735"/>
      <c r="C47" s="1723"/>
      <c r="D47" s="1688"/>
      <c r="E47" s="1688"/>
      <c r="F47" s="1688"/>
      <c r="G47" s="1688"/>
      <c r="H47" s="1688"/>
      <c r="I47" s="1689"/>
      <c r="J47" s="1688"/>
      <c r="K47" s="1768"/>
      <c r="L47" s="1717"/>
      <c r="M47" s="1717"/>
      <c r="N47" s="1688"/>
      <c r="O47" s="1689"/>
      <c r="P47" s="1688"/>
      <c r="Q47" s="1688"/>
      <c r="R47" s="1688"/>
      <c r="S47" s="1688"/>
      <c r="T47" s="1688"/>
      <c r="U47" s="1688"/>
    </row>
    <row r="48" spans="1:21" ht="28.5">
      <c r="A48" s="1693" t="s">
        <v>2002</v>
      </c>
      <c r="B48" s="1680" t="s">
        <v>2003</v>
      </c>
      <c r="C48" s="1680" t="s">
        <v>2004</v>
      </c>
      <c r="D48" s="1680" t="s">
        <v>2005</v>
      </c>
      <c r="E48" s="1680" t="s">
        <v>2006</v>
      </c>
      <c r="F48" s="1680" t="s">
        <v>2007</v>
      </c>
      <c r="G48" s="1680" t="s">
        <v>2008</v>
      </c>
      <c r="H48" s="1680" t="s">
        <v>2009</v>
      </c>
      <c r="I48" s="1680" t="s">
        <v>2010</v>
      </c>
      <c r="J48" s="1766" t="s">
        <v>2011</v>
      </c>
      <c r="K48" s="1760" t="s">
        <v>2012</v>
      </c>
      <c r="L48" s="1760" t="s">
        <v>2013</v>
      </c>
      <c r="M48" s="1760" t="s">
        <v>2014</v>
      </c>
      <c r="N48" s="1680" t="s">
        <v>2015</v>
      </c>
      <c r="O48" s="1680" t="s">
        <v>2016</v>
      </c>
      <c r="P48" s="1680" t="s">
        <v>2017</v>
      </c>
      <c r="Q48" s="1693" t="s">
        <v>2018</v>
      </c>
      <c r="R48" s="1693" t="s">
        <v>2019</v>
      </c>
      <c r="S48" s="1688"/>
      <c r="T48" s="1688"/>
      <c r="U48" s="1688"/>
    </row>
    <row r="49" spans="1:21">
      <c r="A49" s="1690"/>
      <c r="B49" s="1724"/>
      <c r="C49" s="1724"/>
      <c r="D49" s="1724"/>
      <c r="E49" s="1724"/>
      <c r="F49" s="1724"/>
      <c r="G49" s="1724"/>
      <c r="H49" s="1724"/>
      <c r="I49" s="1724"/>
      <c r="J49" s="1832"/>
      <c r="K49" s="1833"/>
      <c r="L49" s="1833"/>
      <c r="M49" s="1724"/>
      <c r="N49" s="1724"/>
      <c r="O49" s="1724"/>
      <c r="P49" s="1724"/>
      <c r="Q49" s="1724"/>
      <c r="R49" s="1724"/>
      <c r="S49" s="1688"/>
      <c r="T49" s="1688"/>
      <c r="U49" s="1688"/>
    </row>
    <row r="50" spans="1:21">
      <c r="A50" s="1690"/>
      <c r="B50" s="1690"/>
      <c r="C50" s="1724"/>
      <c r="D50" s="1724"/>
      <c r="E50" s="1724"/>
      <c r="F50" s="1724"/>
      <c r="G50" s="1724"/>
      <c r="H50" s="1724"/>
      <c r="I50" s="1724"/>
      <c r="J50" s="1832"/>
      <c r="K50" s="1833"/>
      <c r="L50" s="1833"/>
      <c r="M50" s="1724"/>
      <c r="N50" s="1724"/>
      <c r="O50" s="1724"/>
      <c r="P50" s="1724"/>
      <c r="Q50" s="1724"/>
      <c r="R50" s="1724"/>
      <c r="S50" s="1688"/>
      <c r="T50" s="1688"/>
      <c r="U50" s="1688"/>
    </row>
    <row r="51" spans="1:21">
      <c r="A51" s="1690"/>
      <c r="B51" s="1690"/>
      <c r="C51" s="1724"/>
      <c r="D51" s="1724"/>
      <c r="E51" s="1724"/>
      <c r="F51" s="1724"/>
      <c r="G51" s="1724"/>
      <c r="H51" s="1724"/>
      <c r="I51" s="1724"/>
      <c r="J51" s="1832"/>
      <c r="K51" s="1833"/>
      <c r="L51" s="1833"/>
      <c r="M51" s="1724"/>
      <c r="N51" s="1724"/>
      <c r="O51" s="1724"/>
      <c r="P51" s="1724"/>
      <c r="Q51" s="1724"/>
      <c r="R51" s="1724"/>
      <c r="S51" s="1688"/>
      <c r="T51" s="1688"/>
      <c r="U51" s="1688"/>
    </row>
    <row r="52" spans="1:21">
      <c r="A52" s="1690"/>
      <c r="B52" s="1690"/>
      <c r="C52" s="1724"/>
      <c r="D52" s="1724"/>
      <c r="E52" s="1724"/>
      <c r="F52" s="1724"/>
      <c r="G52" s="1724"/>
      <c r="H52" s="1724"/>
      <c r="I52" s="1724"/>
      <c r="J52" s="1832"/>
      <c r="K52" s="1833"/>
      <c r="L52" s="1833"/>
      <c r="M52" s="1724"/>
      <c r="N52" s="1724"/>
      <c r="O52" s="1724"/>
      <c r="P52" s="1724"/>
      <c r="Q52" s="1724"/>
      <c r="R52" s="1724"/>
      <c r="S52" s="1688"/>
      <c r="T52" s="1688"/>
      <c r="U52" s="1688"/>
    </row>
    <row r="53" spans="1:21">
      <c r="A53" s="1690"/>
      <c r="B53" s="1690"/>
      <c r="C53" s="1724"/>
      <c r="D53" s="1724"/>
      <c r="E53" s="1724"/>
      <c r="F53" s="1724"/>
      <c r="G53" s="1724"/>
      <c r="H53" s="1724"/>
      <c r="I53" s="1724"/>
      <c r="J53" s="1832"/>
      <c r="K53" s="1833"/>
      <c r="L53" s="1833"/>
      <c r="M53" s="1724"/>
      <c r="N53" s="1724"/>
      <c r="O53" s="1724"/>
      <c r="P53" s="1724"/>
      <c r="Q53" s="1724"/>
      <c r="R53" s="1724"/>
      <c r="S53" s="1688"/>
      <c r="T53" s="1688"/>
      <c r="U53" s="1688"/>
    </row>
    <row r="54" spans="1:21">
      <c r="A54" s="1690"/>
      <c r="B54" s="1690"/>
      <c r="C54" s="1690"/>
      <c r="D54" s="1690"/>
      <c r="E54" s="1690"/>
      <c r="F54" s="1724"/>
      <c r="G54" s="1690"/>
      <c r="H54" s="1690"/>
      <c r="I54" s="1690"/>
      <c r="J54" s="1834"/>
      <c r="K54" s="1833"/>
      <c r="L54" s="1833"/>
      <c r="M54" s="1833"/>
      <c r="N54" s="1690"/>
      <c r="O54" s="1690"/>
      <c r="P54" s="1690"/>
      <c r="Q54" s="1690"/>
      <c r="R54" s="1690"/>
      <c r="S54" s="1688"/>
      <c r="T54" s="1688"/>
      <c r="U54" s="1688"/>
    </row>
    <row r="55" spans="1:21">
      <c r="A55" s="1690"/>
      <c r="B55" s="1690"/>
      <c r="C55" s="1690"/>
      <c r="D55" s="1690"/>
      <c r="E55" s="1690"/>
      <c r="F55" s="1724"/>
      <c r="G55" s="1690"/>
      <c r="H55" s="1690"/>
      <c r="I55" s="1690"/>
      <c r="J55" s="1834"/>
      <c r="K55" s="1833"/>
      <c r="L55" s="1833"/>
      <c r="M55" s="1833"/>
      <c r="N55" s="1690"/>
      <c r="O55" s="1690"/>
      <c r="P55" s="1690"/>
      <c r="Q55" s="1690"/>
      <c r="R55" s="1690"/>
      <c r="S55" s="1688"/>
      <c r="T55" s="1688"/>
      <c r="U55" s="1688"/>
    </row>
    <row r="56" spans="1:21">
      <c r="A56" s="1690"/>
      <c r="B56" s="1690"/>
      <c r="C56" s="1690"/>
      <c r="D56" s="1690"/>
      <c r="E56" s="1690"/>
      <c r="F56" s="1724"/>
      <c r="G56" s="1690"/>
      <c r="H56" s="1690"/>
      <c r="I56" s="1690"/>
      <c r="J56" s="1834"/>
      <c r="K56" s="1833"/>
      <c r="L56" s="1833"/>
      <c r="M56" s="1833"/>
      <c r="N56" s="1690"/>
      <c r="O56" s="1690"/>
      <c r="P56" s="1690"/>
      <c r="Q56" s="1690"/>
      <c r="R56" s="1690"/>
      <c r="S56" s="1688"/>
      <c r="T56" s="1688"/>
      <c r="U56" s="1688"/>
    </row>
    <row r="57" spans="1:21">
      <c r="A57" s="1690"/>
      <c r="B57" s="1690"/>
      <c r="C57" s="1690"/>
      <c r="D57" s="1690"/>
      <c r="E57" s="1690"/>
      <c r="F57" s="1724"/>
      <c r="G57" s="1690"/>
      <c r="H57" s="1690"/>
      <c r="I57" s="1690"/>
      <c r="J57" s="1834"/>
      <c r="K57" s="1833"/>
      <c r="L57" s="1833"/>
      <c r="M57" s="1833"/>
      <c r="N57" s="1690"/>
      <c r="O57" s="1690"/>
      <c r="P57" s="1690"/>
      <c r="Q57" s="1690"/>
      <c r="R57" s="1690"/>
      <c r="S57" s="1688"/>
      <c r="T57" s="1688"/>
      <c r="U57" s="1688"/>
    </row>
    <row r="58" spans="1:21">
      <c r="A58" s="1690"/>
      <c r="B58" s="1690"/>
      <c r="C58" s="1690"/>
      <c r="D58" s="1690"/>
      <c r="E58" s="1690"/>
      <c r="F58" s="1724"/>
      <c r="G58" s="1690"/>
      <c r="H58" s="1690"/>
      <c r="I58" s="1690"/>
      <c r="J58" s="1834"/>
      <c r="K58" s="1833"/>
      <c r="L58" s="1833"/>
      <c r="M58" s="1833"/>
      <c r="N58" s="1690"/>
      <c r="O58" s="1690"/>
      <c r="P58" s="1690"/>
      <c r="Q58" s="1690"/>
      <c r="R58" s="1690"/>
      <c r="S58" s="1688"/>
      <c r="T58" s="1688"/>
      <c r="U58" s="168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7"/>
  <sheetViews>
    <sheetView workbookViewId="0">
      <selection activeCell="B40" sqref="B40"/>
    </sheetView>
  </sheetViews>
  <sheetFormatPr defaultRowHeight="13.5"/>
  <cols>
    <col min="2" max="2" width="14" customWidth="1"/>
    <col min="3" max="3" width="10.5" customWidth="1"/>
    <col min="4" max="5" width="12.625" customWidth="1"/>
    <col min="6" max="7" width="10.25" customWidth="1"/>
    <col min="8" max="8" width="12" customWidth="1"/>
    <col min="10" max="10" width="12.25" customWidth="1"/>
    <col min="11" max="11" width="8.625" customWidth="1"/>
    <col min="12" max="12" width="11.75" customWidth="1"/>
    <col min="13" max="13" width="11.125" customWidth="1"/>
    <col min="14" max="14" width="13.5" customWidth="1"/>
    <col min="15" max="15" width="10.5" customWidth="1"/>
    <col min="16" max="16" width="11.625" customWidth="1"/>
  </cols>
  <sheetData>
    <row r="1" spans="1:18">
      <c r="A1" s="3334" t="s">
        <v>3087</v>
      </c>
      <c r="B1" s="3334" t="s">
        <v>3086</v>
      </c>
      <c r="C1" s="3334" t="s">
        <v>3108</v>
      </c>
      <c r="D1" s="3334" t="s">
        <v>3093</v>
      </c>
      <c r="E1" s="3242" t="s">
        <v>3095</v>
      </c>
      <c r="F1" s="3243"/>
      <c r="G1" s="3243"/>
      <c r="H1" s="3243"/>
      <c r="I1" s="3243"/>
      <c r="J1" s="3243"/>
      <c r="K1" s="3244"/>
      <c r="L1" s="3334" t="s">
        <v>3096</v>
      </c>
      <c r="M1" s="3335"/>
      <c r="N1" s="3335"/>
      <c r="O1" s="3335"/>
      <c r="P1" s="3335"/>
    </row>
    <row r="2" spans="1:18">
      <c r="A2" s="3334"/>
      <c r="B2" s="3334"/>
      <c r="C2" s="3334"/>
      <c r="D2" s="3334"/>
      <c r="E2" s="3192" t="s">
        <v>3094</v>
      </c>
      <c r="F2" s="3192" t="s">
        <v>3098</v>
      </c>
      <c r="G2" s="3192" t="s">
        <v>3100</v>
      </c>
      <c r="H2" s="3192" t="s">
        <v>3101</v>
      </c>
      <c r="I2" s="3192" t="s">
        <v>3105</v>
      </c>
      <c r="J2" s="3192" t="s">
        <v>3107</v>
      </c>
      <c r="K2" s="3192" t="s">
        <v>3106</v>
      </c>
      <c r="L2" s="3192" t="s">
        <v>3094</v>
      </c>
      <c r="M2" s="3192" t="s">
        <v>3130</v>
      </c>
      <c r="N2" s="3192" t="s">
        <v>3120</v>
      </c>
      <c r="O2" s="3193"/>
      <c r="P2" s="3193"/>
    </row>
    <row r="3" spans="1:18">
      <c r="A3" s="3334" t="s">
        <v>3088</v>
      </c>
      <c r="B3" s="3334" t="s">
        <v>3089</v>
      </c>
      <c r="C3" s="3201" t="s">
        <v>3109</v>
      </c>
      <c r="D3" s="3192">
        <f>SUM(E3,L3)</f>
        <v>23663.920000000002</v>
      </c>
      <c r="E3" s="3193">
        <f>SUM(F3:K3)</f>
        <v>20229.97</v>
      </c>
      <c r="F3" s="3193"/>
      <c r="G3" s="3193">
        <v>17394.77</v>
      </c>
      <c r="H3" s="3193">
        <f>2835.2</f>
        <v>2835.2</v>
      </c>
      <c r="I3" s="3193"/>
      <c r="J3" s="3193"/>
      <c r="K3" s="3193"/>
      <c r="L3" s="3193">
        <f>SUM(M3:P3)</f>
        <v>3433.95</v>
      </c>
      <c r="M3" s="3193">
        <v>3433.95</v>
      </c>
      <c r="N3" s="3193"/>
      <c r="O3" s="3193"/>
      <c r="P3" s="3193"/>
      <c r="Q3" s="3188" t="s">
        <v>3102</v>
      </c>
    </row>
    <row r="4" spans="1:18">
      <c r="A4" s="3334"/>
      <c r="B4" s="3334"/>
      <c r="C4" s="3201" t="s">
        <v>3110</v>
      </c>
      <c r="D4" s="3192">
        <f>SUM(E4,L4)</f>
        <v>2598.08</v>
      </c>
      <c r="E4" s="3193">
        <f>SUM(F4:K4)</f>
        <v>2263.4699999999998</v>
      </c>
      <c r="F4" s="3193"/>
      <c r="G4" s="3193">
        <f>2263.47-H4</f>
        <v>1898.6699999999998</v>
      </c>
      <c r="H4" s="3193">
        <v>364.8</v>
      </c>
      <c r="I4" s="3193"/>
      <c r="J4" s="3193"/>
      <c r="K4" s="3193"/>
      <c r="L4" s="3193">
        <f t="shared" ref="L4:L15" si="0">SUM(M4:P4)</f>
        <v>334.61</v>
      </c>
      <c r="M4" s="3193">
        <v>334.61</v>
      </c>
      <c r="N4" s="3193"/>
      <c r="O4" s="3193"/>
      <c r="P4" s="3193"/>
      <c r="Q4" s="3188"/>
    </row>
    <row r="5" spans="1:18">
      <c r="A5" s="3334"/>
      <c r="B5" s="3334"/>
      <c r="C5" s="3192" t="s">
        <v>3111</v>
      </c>
      <c r="D5" s="3192">
        <f>SUM(D3:D4)</f>
        <v>26262</v>
      </c>
      <c r="E5" s="3192">
        <f t="shared" ref="E5:P5" si="1">SUM(E3:E4)</f>
        <v>22493.440000000002</v>
      </c>
      <c r="F5" s="3192">
        <f t="shared" si="1"/>
        <v>0</v>
      </c>
      <c r="G5" s="3192">
        <f t="shared" si="1"/>
        <v>19293.439999999999</v>
      </c>
      <c r="H5" s="3192">
        <f t="shared" si="1"/>
        <v>3200</v>
      </c>
      <c r="I5" s="3192">
        <f t="shared" si="1"/>
        <v>0</v>
      </c>
      <c r="J5" s="3192">
        <f t="shared" si="1"/>
        <v>0</v>
      </c>
      <c r="K5" s="3192">
        <f t="shared" si="1"/>
        <v>0</v>
      </c>
      <c r="L5" s="3193">
        <f t="shared" si="0"/>
        <v>3768.56</v>
      </c>
      <c r="M5" s="3192">
        <f t="shared" si="1"/>
        <v>3768.56</v>
      </c>
      <c r="N5" s="3192">
        <f t="shared" si="1"/>
        <v>0</v>
      </c>
      <c r="O5" s="3192">
        <f t="shared" si="1"/>
        <v>0</v>
      </c>
      <c r="P5" s="3192">
        <f t="shared" si="1"/>
        <v>0</v>
      </c>
      <c r="Q5" s="3188"/>
    </row>
    <row r="6" spans="1:18">
      <c r="A6" s="3334"/>
      <c r="B6" s="3334" t="s">
        <v>3090</v>
      </c>
      <c r="C6" s="3201" t="s">
        <v>3112</v>
      </c>
      <c r="D6" s="3192">
        <f t="shared" ref="D6:D12" si="2">SUM(E6,L6)</f>
        <v>11089.36</v>
      </c>
      <c r="E6" s="3193">
        <f t="shared" ref="E6:E12" si="3">SUM(F6:K6)</f>
        <v>10167.780000000001</v>
      </c>
      <c r="F6" s="3193">
        <v>10167.780000000001</v>
      </c>
      <c r="G6" s="3193"/>
      <c r="H6" s="3193"/>
      <c r="I6" s="3193"/>
      <c r="J6" s="3193"/>
      <c r="K6" s="3193">
        <v>0</v>
      </c>
      <c r="L6" s="3193">
        <f t="shared" si="0"/>
        <v>921.58</v>
      </c>
      <c r="M6" s="3193">
        <v>921.58</v>
      </c>
      <c r="N6" s="3193"/>
      <c r="O6" s="3193"/>
      <c r="P6" s="3193"/>
      <c r="Q6" s="3188" t="s">
        <v>3103</v>
      </c>
    </row>
    <row r="7" spans="1:18">
      <c r="A7" s="3334"/>
      <c r="B7" s="3334"/>
      <c r="C7" s="3201" t="s">
        <v>3113</v>
      </c>
      <c r="D7" s="3192">
        <f t="shared" si="2"/>
        <v>1612</v>
      </c>
      <c r="E7" s="3193">
        <f t="shared" si="3"/>
        <v>1612</v>
      </c>
      <c r="F7" s="3193"/>
      <c r="G7" s="3193"/>
      <c r="H7" s="3193"/>
      <c r="I7" s="3193">
        <v>858</v>
      </c>
      <c r="J7" s="3193"/>
      <c r="K7" s="3210">
        <f>754</f>
        <v>754</v>
      </c>
      <c r="L7" s="3193">
        <f t="shared" si="0"/>
        <v>0</v>
      </c>
      <c r="M7" s="3193"/>
      <c r="N7" s="3193"/>
      <c r="O7" s="3193"/>
      <c r="P7" s="3193"/>
      <c r="Q7" s="3188"/>
    </row>
    <row r="8" spans="1:18">
      <c r="A8" s="3334"/>
      <c r="B8" s="3334"/>
      <c r="C8" s="3201" t="s">
        <v>3114</v>
      </c>
      <c r="D8" s="3192">
        <f t="shared" si="2"/>
        <v>11894.1</v>
      </c>
      <c r="E8" s="3193">
        <f t="shared" si="3"/>
        <v>11029.11</v>
      </c>
      <c r="F8" s="3193">
        <v>11029.11</v>
      </c>
      <c r="G8" s="3193"/>
      <c r="H8" s="3193"/>
      <c r="I8" s="3193"/>
      <c r="J8" s="3193"/>
      <c r="K8" s="3193"/>
      <c r="L8" s="3193">
        <f t="shared" si="0"/>
        <v>864.99</v>
      </c>
      <c r="M8" s="3193">
        <v>864.99</v>
      </c>
      <c r="N8" s="3193"/>
      <c r="O8" s="3193"/>
      <c r="P8" s="3193"/>
      <c r="Q8" s="3188"/>
    </row>
    <row r="9" spans="1:18">
      <c r="A9" s="3334"/>
      <c r="B9" s="3334"/>
      <c r="C9" s="3201" t="s">
        <v>3115</v>
      </c>
      <c r="D9" s="3192">
        <f t="shared" si="2"/>
        <v>11143.560000000001</v>
      </c>
      <c r="E9" s="3193">
        <f t="shared" si="3"/>
        <v>10333.6</v>
      </c>
      <c r="F9" s="3193">
        <v>9375.6</v>
      </c>
      <c r="G9" s="3193"/>
      <c r="H9" s="3193"/>
      <c r="I9" s="3193"/>
      <c r="J9" s="3193"/>
      <c r="K9" s="3193">
        <v>958</v>
      </c>
      <c r="L9" s="3193">
        <f t="shared" si="0"/>
        <v>809.96</v>
      </c>
      <c r="M9" s="3193">
        <v>809.96</v>
      </c>
      <c r="N9" s="3193"/>
      <c r="O9" s="3193"/>
      <c r="P9" s="3193"/>
      <c r="Q9" s="3188"/>
    </row>
    <row r="10" spans="1:18">
      <c r="A10" s="3334"/>
      <c r="B10" s="3334"/>
      <c r="C10" s="3201" t="s">
        <v>3116</v>
      </c>
      <c r="D10" s="3192">
        <f t="shared" si="2"/>
        <v>11968.390000000001</v>
      </c>
      <c r="E10" s="3193">
        <f t="shared" si="3"/>
        <v>11099.29</v>
      </c>
      <c r="F10" s="3193">
        <v>11099.29</v>
      </c>
      <c r="G10" s="3193"/>
      <c r="H10" s="3193"/>
      <c r="I10" s="3193"/>
      <c r="J10" s="3193"/>
      <c r="K10" s="3193"/>
      <c r="L10" s="3193">
        <f t="shared" si="0"/>
        <v>869.1</v>
      </c>
      <c r="M10" s="3193">
        <v>869.1</v>
      </c>
      <c r="N10" s="3193"/>
      <c r="O10" s="3193"/>
      <c r="P10" s="3193"/>
      <c r="Q10" s="3188"/>
    </row>
    <row r="11" spans="1:18">
      <c r="A11" s="3334"/>
      <c r="B11" s="3334"/>
      <c r="C11" s="3201" t="s">
        <v>3117</v>
      </c>
      <c r="D11" s="3192">
        <f t="shared" si="2"/>
        <v>42</v>
      </c>
      <c r="E11" s="3193">
        <f t="shared" si="3"/>
        <v>42</v>
      </c>
      <c r="F11" s="3193"/>
      <c r="G11" s="3193"/>
      <c r="H11" s="3193"/>
      <c r="I11" s="3193"/>
      <c r="J11" s="3193">
        <v>42</v>
      </c>
      <c r="K11" s="3193"/>
      <c r="L11" s="3193">
        <f t="shared" si="0"/>
        <v>0</v>
      </c>
      <c r="M11" s="3193"/>
      <c r="N11" s="3193"/>
      <c r="O11" s="3193"/>
      <c r="P11" s="3193"/>
      <c r="Q11" s="3188"/>
    </row>
    <row r="12" spans="1:18">
      <c r="A12" s="3334"/>
      <c r="B12" s="3334"/>
      <c r="C12" s="3201" t="s">
        <v>3118</v>
      </c>
      <c r="D12" s="3192">
        <f t="shared" si="2"/>
        <v>11089.36</v>
      </c>
      <c r="E12" s="3193">
        <f t="shared" si="3"/>
        <v>10167.780000000001</v>
      </c>
      <c r="F12" s="3193">
        <v>10167.780000000001</v>
      </c>
      <c r="G12" s="3193"/>
      <c r="H12" s="3193"/>
      <c r="I12" s="3193"/>
      <c r="J12" s="3193"/>
      <c r="K12" s="3193"/>
      <c r="L12" s="3193">
        <f t="shared" si="0"/>
        <v>921.58</v>
      </c>
      <c r="M12" s="3193">
        <v>921.58</v>
      </c>
      <c r="N12" s="3193"/>
      <c r="O12" s="3193"/>
      <c r="P12" s="3193"/>
      <c r="Q12" s="3188"/>
    </row>
    <row r="13" spans="1:18">
      <c r="A13" s="3334"/>
      <c r="B13" s="3334"/>
      <c r="C13" s="3192" t="s">
        <v>3111</v>
      </c>
      <c r="D13" s="3201">
        <f>SUM(D6:D12)</f>
        <v>58838.770000000004</v>
      </c>
      <c r="E13" s="3192">
        <f t="shared" ref="E13:P13" si="4">SUM(E6:E12)</f>
        <v>54451.56</v>
      </c>
      <c r="F13" s="3192">
        <f t="shared" si="4"/>
        <v>51839.56</v>
      </c>
      <c r="G13" s="3192">
        <f t="shared" si="4"/>
        <v>0</v>
      </c>
      <c r="H13" s="3192">
        <f t="shared" si="4"/>
        <v>0</v>
      </c>
      <c r="I13" s="3192">
        <f t="shared" si="4"/>
        <v>858</v>
      </c>
      <c r="J13" s="3192">
        <f t="shared" si="4"/>
        <v>42</v>
      </c>
      <c r="K13" s="3192">
        <f t="shared" si="4"/>
        <v>1712</v>
      </c>
      <c r="L13" s="3192">
        <f t="shared" si="4"/>
        <v>4387.21</v>
      </c>
      <c r="M13" s="3192">
        <f t="shared" si="4"/>
        <v>4387.21</v>
      </c>
      <c r="N13" s="3192">
        <f t="shared" si="4"/>
        <v>0</v>
      </c>
      <c r="O13" s="3192">
        <f t="shared" si="4"/>
        <v>0</v>
      </c>
      <c r="P13" s="3192">
        <f t="shared" si="4"/>
        <v>0</v>
      </c>
      <c r="Q13" s="3188"/>
    </row>
    <row r="14" spans="1:18">
      <c r="A14" s="3334"/>
      <c r="B14" s="3192" t="s">
        <v>3092</v>
      </c>
      <c r="C14" s="3201" t="s">
        <v>3121</v>
      </c>
      <c r="D14" s="3192">
        <f>SUM(E14,L14)</f>
        <v>0</v>
      </c>
      <c r="E14" s="3193">
        <f>SUM(F14:K14)</f>
        <v>0</v>
      </c>
      <c r="F14" s="3193"/>
      <c r="G14" s="3193"/>
      <c r="H14" s="3193"/>
      <c r="I14" s="3193">
        <v>0</v>
      </c>
      <c r="J14" s="3193"/>
      <c r="K14" s="3193"/>
      <c r="L14" s="3193">
        <f t="shared" si="0"/>
        <v>0</v>
      </c>
      <c r="M14" s="3193"/>
      <c r="N14" s="3193"/>
      <c r="O14" s="3193"/>
      <c r="P14" s="3193"/>
      <c r="Q14" s="3188" t="s">
        <v>3124</v>
      </c>
      <c r="R14">
        <v>576</v>
      </c>
    </row>
    <row r="15" spans="1:18">
      <c r="A15" s="3334"/>
      <c r="B15" s="3192" t="s">
        <v>3091</v>
      </c>
      <c r="C15" s="3201" t="s">
        <v>3120</v>
      </c>
      <c r="D15" s="3192">
        <f>SUM(E15,L15)</f>
        <v>24904.22</v>
      </c>
      <c r="E15" s="3193"/>
      <c r="F15" s="3193"/>
      <c r="G15" s="3193"/>
      <c r="H15" s="3193"/>
      <c r="I15" s="3193"/>
      <c r="J15" s="3193"/>
      <c r="K15" s="3193"/>
      <c r="L15" s="3193">
        <f t="shared" si="0"/>
        <v>24904.22</v>
      </c>
      <c r="M15" s="3193"/>
      <c r="N15" s="3193">
        <v>24904.22</v>
      </c>
      <c r="O15" s="3193"/>
      <c r="P15" s="3193"/>
    </row>
    <row r="16" spans="1:18">
      <c r="A16" s="3331" t="s">
        <v>3122</v>
      </c>
      <c r="B16" s="3332"/>
      <c r="C16" s="3333"/>
      <c r="D16" s="3194">
        <f>SUM(D5,D13,D14,D15)</f>
        <v>110004.99</v>
      </c>
      <c r="E16" s="3194">
        <f t="shared" ref="E16:P16" si="5">SUM(E5,E13,E14,E15)</f>
        <v>76945</v>
      </c>
      <c r="F16" s="3194">
        <f t="shared" si="5"/>
        <v>51839.56</v>
      </c>
      <c r="G16" s="3194">
        <f t="shared" si="5"/>
        <v>19293.439999999999</v>
      </c>
      <c r="H16" s="3194">
        <f t="shared" si="5"/>
        <v>3200</v>
      </c>
      <c r="I16" s="3194">
        <f>SUM(I5,I13,I14,I15)</f>
        <v>858</v>
      </c>
      <c r="J16" s="3194">
        <f t="shared" si="5"/>
        <v>42</v>
      </c>
      <c r="K16" s="3194">
        <f t="shared" si="5"/>
        <v>1712</v>
      </c>
      <c r="L16" s="3194">
        <f t="shared" si="5"/>
        <v>33059.990000000005</v>
      </c>
      <c r="M16" s="3194">
        <f t="shared" si="5"/>
        <v>8155.77</v>
      </c>
      <c r="N16" s="3194">
        <f t="shared" si="5"/>
        <v>24904.22</v>
      </c>
      <c r="O16" s="3194">
        <f t="shared" si="5"/>
        <v>0</v>
      </c>
      <c r="P16" s="3194">
        <f t="shared" si="5"/>
        <v>0</v>
      </c>
    </row>
    <row r="17" spans="1:20" s="3195" customFormat="1">
      <c r="A17" s="3329" t="s">
        <v>3087</v>
      </c>
      <c r="B17" s="3329" t="s">
        <v>3086</v>
      </c>
      <c r="C17" s="3329" t="s">
        <v>3108</v>
      </c>
      <c r="D17" s="3329" t="s">
        <v>3093</v>
      </c>
      <c r="E17" s="3245" t="s">
        <v>3095</v>
      </c>
      <c r="F17" s="3246"/>
      <c r="G17" s="3246"/>
      <c r="H17" s="3246"/>
      <c r="I17" s="3246"/>
      <c r="J17" s="3246"/>
      <c r="K17" s="3247"/>
      <c r="L17" s="3329" t="s">
        <v>3096</v>
      </c>
      <c r="M17" s="3330"/>
      <c r="N17" s="3330"/>
      <c r="O17" s="3330"/>
      <c r="P17" s="3330"/>
    </row>
    <row r="18" spans="1:20" s="3195" customFormat="1">
      <c r="A18" s="3329"/>
      <c r="B18" s="3329"/>
      <c r="C18" s="3329"/>
      <c r="D18" s="3329"/>
      <c r="E18" s="3196" t="s">
        <v>3094</v>
      </c>
      <c r="F18" s="3196" t="s">
        <v>3098</v>
      </c>
      <c r="G18" s="3196" t="s">
        <v>3100</v>
      </c>
      <c r="H18" s="3196" t="s">
        <v>3101</v>
      </c>
      <c r="I18" s="3196" t="s">
        <v>3105</v>
      </c>
      <c r="J18" s="3196" t="s">
        <v>3126</v>
      </c>
      <c r="K18" s="3196" t="s">
        <v>3128</v>
      </c>
      <c r="L18" s="3196" t="s">
        <v>3129</v>
      </c>
      <c r="M18" s="3196" t="s">
        <v>3106</v>
      </c>
      <c r="N18" s="3196" t="s">
        <v>3094</v>
      </c>
      <c r="O18" s="3196" t="s">
        <v>3104</v>
      </c>
      <c r="P18" s="3196" t="s">
        <v>3120</v>
      </c>
      <c r="Q18" s="3197"/>
      <c r="R18" s="3197"/>
    </row>
    <row r="19" spans="1:20">
      <c r="A19" s="3189" t="s">
        <v>3123</v>
      </c>
      <c r="B19" s="3190"/>
      <c r="C19" s="3189" t="s">
        <v>3123</v>
      </c>
      <c r="D19" s="3190">
        <f>SUM(N19,E19)</f>
        <v>139305</v>
      </c>
      <c r="E19" s="3190">
        <f>SUM(F19:M19)</f>
        <v>95305</v>
      </c>
      <c r="F19" s="3191">
        <f>88021-G19</f>
        <v>66516</v>
      </c>
      <c r="G19" s="3191">
        <v>21505</v>
      </c>
      <c r="H19" s="3191">
        <v>4600</v>
      </c>
      <c r="I19" s="3191">
        <v>42</v>
      </c>
      <c r="J19" s="3191"/>
      <c r="K19" s="3191"/>
      <c r="L19" s="3191"/>
      <c r="M19" s="3191">
        <v>2642</v>
      </c>
      <c r="N19" s="3191">
        <v>44000</v>
      </c>
      <c r="O19" s="3191">
        <f>N19-P19</f>
        <v>17750</v>
      </c>
      <c r="P19" s="3191">
        <f>T19*35</f>
        <v>26250</v>
      </c>
      <c r="Q19" s="3191"/>
      <c r="R19" s="3190"/>
      <c r="S19" s="3188" t="s">
        <v>3124</v>
      </c>
      <c r="T19">
        <v>750</v>
      </c>
    </row>
    <row r="20" spans="1:20">
      <c r="A20" s="3189" t="s">
        <v>3125</v>
      </c>
      <c r="B20" s="3190"/>
      <c r="C20" s="3189" t="s">
        <v>3125</v>
      </c>
      <c r="D20" s="3190">
        <f>SUM(N20,E20)</f>
        <v>163450</v>
      </c>
      <c r="E20" s="3190">
        <f>SUM(F20:M20)</f>
        <v>109450</v>
      </c>
      <c r="F20" s="3191"/>
      <c r="G20" s="3191"/>
      <c r="H20" s="3191">
        <v>15170</v>
      </c>
      <c r="I20" s="3191"/>
      <c r="J20" s="3191">
        <v>64080</v>
      </c>
      <c r="K20" s="3191">
        <v>29000</v>
      </c>
      <c r="L20" s="3191">
        <f>800+350</f>
        <v>1150</v>
      </c>
      <c r="M20" s="3197">
        <v>50</v>
      </c>
      <c r="N20" s="3198">
        <v>54000</v>
      </c>
      <c r="O20" s="3191">
        <f>N20-P20</f>
        <v>14695</v>
      </c>
      <c r="P20" s="3191">
        <f>T20*35</f>
        <v>39305</v>
      </c>
      <c r="Q20" s="3191"/>
      <c r="R20" s="3190"/>
      <c r="S20" s="3188" t="s">
        <v>3124</v>
      </c>
      <c r="T20">
        <v>1123</v>
      </c>
    </row>
    <row r="21" spans="1:20" s="3200" customFormat="1">
      <c r="A21" s="3207"/>
      <c r="B21" s="3207"/>
      <c r="C21" s="3207"/>
      <c r="D21" s="3207">
        <f t="shared" ref="D21:I21" si="6">SUM(D19:D20,D16)</f>
        <v>412759.99</v>
      </c>
      <c r="E21" s="3207">
        <f t="shared" si="6"/>
        <v>281700</v>
      </c>
      <c r="F21" s="3207">
        <f t="shared" si="6"/>
        <v>118355.56</v>
      </c>
      <c r="G21" s="3207">
        <f t="shared" si="6"/>
        <v>40798.44</v>
      </c>
      <c r="H21" s="3207">
        <f t="shared" si="6"/>
        <v>22970</v>
      </c>
      <c r="I21" s="3207">
        <f t="shared" si="6"/>
        <v>900</v>
      </c>
      <c r="J21" s="3207">
        <f>J20</f>
        <v>64080</v>
      </c>
      <c r="K21" s="3207">
        <f>K20</f>
        <v>29000</v>
      </c>
      <c r="L21" s="3207">
        <f>SUM(J16,L20)</f>
        <v>1192</v>
      </c>
      <c r="M21" s="3207">
        <f>SUM(K16,M20,M19)</f>
        <v>4404</v>
      </c>
      <c r="N21" s="3207">
        <f>SUM(N19:N20,L16)</f>
        <v>131059.99</v>
      </c>
      <c r="O21" s="3207">
        <f t="shared" ref="O21:P21" si="7">SUM(O19:O20,M16)</f>
        <v>40600.770000000004</v>
      </c>
      <c r="P21" s="3207">
        <f t="shared" si="7"/>
        <v>90459.22</v>
      </c>
      <c r="Q21" s="3207"/>
      <c r="R21" s="3207"/>
    </row>
    <row r="23" spans="1:20" hidden="1">
      <c r="B23" s="3199" t="s">
        <v>3131</v>
      </c>
      <c r="C23" s="3200">
        <f>SUM(D16,D19,D20)</f>
        <v>412759.99</v>
      </c>
    </row>
    <row r="24" spans="1:20" hidden="1">
      <c r="B24" s="3199" t="s">
        <v>3132</v>
      </c>
      <c r="C24" s="3200">
        <f>SUM(E16,E19,E20)</f>
        <v>281700</v>
      </c>
    </row>
    <row r="25" spans="1:20" hidden="1">
      <c r="B25" s="3199" t="s">
        <v>3133</v>
      </c>
      <c r="C25" s="3200">
        <f>SUM(L16,N19,N20)</f>
        <v>131059.99</v>
      </c>
    </row>
    <row r="26" spans="1:20" hidden="1">
      <c r="B26" s="3202" t="s">
        <v>3134</v>
      </c>
      <c r="C26" s="3200">
        <f>SUM(F16,G16,F19,G19)</f>
        <v>159154</v>
      </c>
    </row>
    <row r="27" spans="1:20" hidden="1">
      <c r="B27" s="3202" t="s">
        <v>3135</v>
      </c>
      <c r="C27" s="3200">
        <f>SUM(H20,J20,K20)</f>
        <v>108250</v>
      </c>
    </row>
    <row r="28" spans="1:20" hidden="1"/>
    <row r="29" spans="1:20" hidden="1"/>
    <row r="30" spans="1:20" hidden="1"/>
    <row r="31" spans="1:20" hidden="1"/>
    <row r="32" spans="1:20" hidden="1"/>
    <row r="33" spans="1:14" s="2960" customFormat="1" hidden="1">
      <c r="A33" s="2960" t="s">
        <v>2968</v>
      </c>
      <c r="B33" s="2960" t="s">
        <v>2969</v>
      </c>
      <c r="C33" s="2960" t="s">
        <v>2970</v>
      </c>
      <c r="D33" s="3205" t="s">
        <v>3187</v>
      </c>
      <c r="E33" s="2960" t="s">
        <v>2974</v>
      </c>
      <c r="F33" s="2960" t="s">
        <v>2027</v>
      </c>
      <c r="H33" s="2960" t="s">
        <v>3140</v>
      </c>
      <c r="I33" s="2960" t="s">
        <v>2976</v>
      </c>
      <c r="J33" s="2960" t="s">
        <v>2977</v>
      </c>
      <c r="K33" s="2960" t="s">
        <v>2978</v>
      </c>
      <c r="L33" s="2960" t="s">
        <v>2979</v>
      </c>
      <c r="M33" s="2960" t="s">
        <v>2980</v>
      </c>
      <c r="N33" s="2960" t="s">
        <v>2981</v>
      </c>
    </row>
    <row r="34" spans="1:14" s="3204" customFormat="1" hidden="1">
      <c r="A34" s="3204" t="s">
        <v>3184</v>
      </c>
      <c r="B34" s="3204" t="s">
        <v>3082</v>
      </c>
      <c r="C34" s="3204" t="s">
        <v>2967</v>
      </c>
      <c r="D34" s="3204">
        <v>125926.39999999999</v>
      </c>
      <c r="E34" s="3204">
        <v>281700</v>
      </c>
      <c r="F34" s="3204">
        <v>2.2400000000000002</v>
      </c>
      <c r="H34" s="3204" t="s">
        <v>2817</v>
      </c>
      <c r="I34" s="3204" t="s">
        <v>3185</v>
      </c>
      <c r="J34" s="3204" t="s">
        <v>3186</v>
      </c>
      <c r="K34" s="3204">
        <v>410000</v>
      </c>
      <c r="L34" s="3204">
        <v>2170.58</v>
      </c>
      <c r="M34" s="3204">
        <v>14554.48</v>
      </c>
      <c r="N34" s="3204">
        <v>0</v>
      </c>
    </row>
    <row r="35" spans="1:14" hidden="1"/>
    <row r="36" spans="1:14" hidden="1"/>
    <row r="38" spans="1:14" ht="14.25" thickBot="1"/>
    <row r="39" spans="1:14" ht="14.25" thickBot="1">
      <c r="C39" s="3319" t="s">
        <v>3275</v>
      </c>
      <c r="D39" s="3328" t="s">
        <v>3276</v>
      </c>
      <c r="E39" s="3326"/>
      <c r="F39" s="3326"/>
      <c r="G39" s="3326"/>
      <c r="H39" s="3326"/>
      <c r="I39" s="3326"/>
      <c r="J39" s="3326"/>
      <c r="K39" s="3326"/>
      <c r="L39" s="3326"/>
      <c r="M39" s="3326"/>
      <c r="N39" s="3327"/>
    </row>
    <row r="40" spans="1:14" ht="14.25" thickBot="1">
      <c r="C40" s="3320"/>
      <c r="D40" s="3322" t="s">
        <v>24</v>
      </c>
      <c r="E40" s="3328" t="s">
        <v>25</v>
      </c>
      <c r="F40" s="3326"/>
      <c r="G40" s="3326"/>
      <c r="H40" s="3326"/>
      <c r="I40" s="3326"/>
      <c r="J40" s="3326"/>
      <c r="K40" s="3327"/>
      <c r="L40" s="3325" t="s">
        <v>26</v>
      </c>
      <c r="M40" s="3326"/>
      <c r="N40" s="3327"/>
    </row>
    <row r="41" spans="1:14">
      <c r="C41" s="3320"/>
      <c r="D41" s="3323"/>
      <c r="E41" s="3322" t="s">
        <v>27</v>
      </c>
      <c r="F41" s="3322" t="str">
        <f>F2</f>
        <v>高层住宅</v>
      </c>
      <c r="G41" s="3322" t="s">
        <v>3279</v>
      </c>
      <c r="H41" s="3322" t="s">
        <v>3280</v>
      </c>
      <c r="I41" s="3322" t="s">
        <v>3281</v>
      </c>
      <c r="J41" s="3322" t="s">
        <v>3282</v>
      </c>
      <c r="K41" s="3322" t="s">
        <v>35</v>
      </c>
      <c r="L41" s="3322" t="s">
        <v>27</v>
      </c>
      <c r="M41" s="3322" t="s">
        <v>2309</v>
      </c>
      <c r="N41" s="3237" t="s">
        <v>3277</v>
      </c>
    </row>
    <row r="42" spans="1:14" ht="14.25" thickBot="1">
      <c r="C42" s="3321"/>
      <c r="D42" s="3324"/>
      <c r="E42" s="3324"/>
      <c r="F42" s="3324"/>
      <c r="G42" s="3324"/>
      <c r="H42" s="3324"/>
      <c r="I42" s="3324"/>
      <c r="J42" s="3324"/>
      <c r="K42" s="3324"/>
      <c r="L42" s="3324"/>
      <c r="M42" s="3324"/>
      <c r="N42" s="3238" t="s">
        <v>3278</v>
      </c>
    </row>
    <row r="43" spans="1:14" ht="14.25" thickBot="1">
      <c r="C43" s="3239" t="str">
        <f>C3</f>
        <v>6#</v>
      </c>
      <c r="D43" s="3240">
        <f>SUM(E43,L43)</f>
        <v>23663.920000000002</v>
      </c>
      <c r="E43" s="3240">
        <f>SUM(F43:K43)</f>
        <v>20229.97</v>
      </c>
      <c r="F43" s="3240">
        <f>F3</f>
        <v>0</v>
      </c>
      <c r="G43" s="3240">
        <f>G3</f>
        <v>17394.77</v>
      </c>
      <c r="H43" s="3240">
        <f>H3+I3</f>
        <v>2835.2</v>
      </c>
      <c r="I43" s="3240"/>
      <c r="J43" s="3240">
        <f>J26</f>
        <v>0</v>
      </c>
      <c r="K43" s="3240">
        <v>0</v>
      </c>
      <c r="L43" s="3240">
        <f>SUM(M43:N43)</f>
        <v>3433.95</v>
      </c>
      <c r="M43" s="3240">
        <f>M3+J3</f>
        <v>3433.95</v>
      </c>
      <c r="N43" s="3240">
        <f>I3+K3</f>
        <v>0</v>
      </c>
    </row>
    <row r="44" spans="1:14" ht="14.25" thickBot="1">
      <c r="C44" s="3239" t="str">
        <f t="shared" ref="C44" si="8">C4</f>
        <v>7#</v>
      </c>
      <c r="D44" s="3240">
        <f t="shared" ref="D44:D56" si="9">SUM(E44,L44)</f>
        <v>2598.08</v>
      </c>
      <c r="E44" s="3240">
        <f t="shared" ref="E44:E56" si="10">SUM(F44:K44)</f>
        <v>2263.4699999999998</v>
      </c>
      <c r="F44" s="3240">
        <f t="shared" ref="F44:H44" si="11">F4</f>
        <v>0</v>
      </c>
      <c r="G44" s="3240">
        <f t="shared" si="11"/>
        <v>1898.6699999999998</v>
      </c>
      <c r="H44" s="3240">
        <f t="shared" si="11"/>
        <v>364.8</v>
      </c>
      <c r="I44" s="3240"/>
      <c r="J44" s="3240">
        <f t="shared" ref="J44" si="12">J27</f>
        <v>0</v>
      </c>
      <c r="K44" s="3240">
        <v>0</v>
      </c>
      <c r="L44" s="3240">
        <f t="shared" ref="L44:L56" si="13">SUM(M44:N44)</f>
        <v>334.61</v>
      </c>
      <c r="M44" s="3240">
        <f t="shared" ref="M44" si="14">M4+J4</f>
        <v>334.61</v>
      </c>
      <c r="N44" s="3240">
        <f t="shared" ref="N44:N52" si="15">I4+K4</f>
        <v>0</v>
      </c>
    </row>
    <row r="45" spans="1:14" ht="14.25" thickBot="1">
      <c r="C45" s="3239" t="str">
        <f t="shared" ref="C45:C51" si="16">C6</f>
        <v>3#</v>
      </c>
      <c r="D45" s="3240">
        <f t="shared" si="9"/>
        <v>11089.36</v>
      </c>
      <c r="E45" s="3240">
        <f t="shared" si="10"/>
        <v>10167.780000000001</v>
      </c>
      <c r="F45" s="3240">
        <f t="shared" ref="F45:G45" si="17">F6</f>
        <v>10167.780000000001</v>
      </c>
      <c r="G45" s="3240">
        <f t="shared" si="17"/>
        <v>0</v>
      </c>
      <c r="H45" s="3240">
        <v>0</v>
      </c>
      <c r="I45" s="3240"/>
      <c r="J45" s="3240">
        <f>J29</f>
        <v>0</v>
      </c>
      <c r="K45" s="3240">
        <v>0</v>
      </c>
      <c r="L45" s="3240">
        <f t="shared" si="13"/>
        <v>921.58</v>
      </c>
      <c r="M45" s="3240">
        <f t="shared" ref="M45:M51" si="18">M6+J6</f>
        <v>921.58</v>
      </c>
      <c r="N45" s="3240">
        <f t="shared" si="15"/>
        <v>0</v>
      </c>
    </row>
    <row r="46" spans="1:14" ht="14.25" thickBot="1">
      <c r="C46" s="3239" t="str">
        <f t="shared" si="16"/>
        <v>配建1号</v>
      </c>
      <c r="D46" s="3240">
        <f t="shared" si="9"/>
        <v>1612</v>
      </c>
      <c r="E46" s="3240">
        <f t="shared" si="10"/>
        <v>0</v>
      </c>
      <c r="F46" s="3240">
        <f t="shared" ref="F46:G46" si="19">F7</f>
        <v>0</v>
      </c>
      <c r="G46" s="3240">
        <f t="shared" si="19"/>
        <v>0</v>
      </c>
      <c r="H46" s="3240"/>
      <c r="I46" s="3240"/>
      <c r="J46" s="3240">
        <f>J30</f>
        <v>0</v>
      </c>
      <c r="K46" s="3240">
        <v>0</v>
      </c>
      <c r="L46" s="3240">
        <f t="shared" si="13"/>
        <v>1612</v>
      </c>
      <c r="M46" s="3240">
        <f t="shared" si="18"/>
        <v>0</v>
      </c>
      <c r="N46" s="3240">
        <v>1612</v>
      </c>
    </row>
    <row r="47" spans="1:14" ht="14.25" thickBot="1">
      <c r="C47" s="3239" t="str">
        <f t="shared" si="16"/>
        <v>2#</v>
      </c>
      <c r="D47" s="3240">
        <f t="shared" si="9"/>
        <v>11894.1</v>
      </c>
      <c r="E47" s="3240">
        <f t="shared" si="10"/>
        <v>11029.11</v>
      </c>
      <c r="F47" s="3240">
        <f t="shared" ref="F47:G47" si="20">F8</f>
        <v>11029.11</v>
      </c>
      <c r="G47" s="3240">
        <f t="shared" si="20"/>
        <v>0</v>
      </c>
      <c r="H47" s="3240"/>
      <c r="I47" s="3240"/>
      <c r="J47" s="3240">
        <f>J31</f>
        <v>0</v>
      </c>
      <c r="K47" s="3240">
        <v>0</v>
      </c>
      <c r="L47" s="3240">
        <f t="shared" si="13"/>
        <v>864.99</v>
      </c>
      <c r="M47" s="3240">
        <f t="shared" si="18"/>
        <v>864.99</v>
      </c>
      <c r="N47" s="3240">
        <v>0</v>
      </c>
    </row>
    <row r="48" spans="1:14" ht="14.25" thickBot="1">
      <c r="C48" s="3239" t="str">
        <f t="shared" si="16"/>
        <v>1#</v>
      </c>
      <c r="D48" s="3240">
        <f t="shared" si="9"/>
        <v>11143.560000000001</v>
      </c>
      <c r="E48" s="3240">
        <f t="shared" si="10"/>
        <v>9375.6</v>
      </c>
      <c r="F48" s="3240">
        <f t="shared" ref="F48:G48" si="21">F9</f>
        <v>9375.6</v>
      </c>
      <c r="G48" s="3240">
        <f t="shared" si="21"/>
        <v>0</v>
      </c>
      <c r="H48" s="3240"/>
      <c r="I48" s="3240"/>
      <c r="J48" s="3240"/>
      <c r="K48" s="3240">
        <v>0</v>
      </c>
      <c r="L48" s="3240">
        <f t="shared" si="13"/>
        <v>1767.96</v>
      </c>
      <c r="M48" s="3240">
        <f t="shared" si="18"/>
        <v>809.96</v>
      </c>
      <c r="N48" s="3240">
        <v>958</v>
      </c>
    </row>
    <row r="49" spans="3:14" ht="14.25" thickBot="1">
      <c r="C49" s="3239" t="str">
        <f t="shared" si="16"/>
        <v>5#</v>
      </c>
      <c r="D49" s="3240">
        <f t="shared" si="9"/>
        <v>11968.390000000001</v>
      </c>
      <c r="E49" s="3240">
        <f t="shared" si="10"/>
        <v>11099.29</v>
      </c>
      <c r="F49" s="3240">
        <f t="shared" ref="F49:G49" si="22">F10</f>
        <v>11099.29</v>
      </c>
      <c r="G49" s="3240">
        <f t="shared" si="22"/>
        <v>0</v>
      </c>
      <c r="H49" s="3240"/>
      <c r="I49" s="3240"/>
      <c r="J49" s="3240"/>
      <c r="K49" s="3240">
        <v>0</v>
      </c>
      <c r="L49" s="3240">
        <f t="shared" si="13"/>
        <v>869.1</v>
      </c>
      <c r="M49" s="3240">
        <f t="shared" si="18"/>
        <v>869.1</v>
      </c>
      <c r="N49" s="3240">
        <v>0</v>
      </c>
    </row>
    <row r="50" spans="3:14" ht="14.25" thickBot="1">
      <c r="C50" s="3239" t="str">
        <f t="shared" si="16"/>
        <v>燃气调压站</v>
      </c>
      <c r="D50" s="3240">
        <f t="shared" si="9"/>
        <v>42</v>
      </c>
      <c r="E50" s="3240">
        <f t="shared" si="10"/>
        <v>0</v>
      </c>
      <c r="F50" s="3240">
        <f t="shared" ref="F50:G50" si="23">F11</f>
        <v>0</v>
      </c>
      <c r="G50" s="3240">
        <f t="shared" si="23"/>
        <v>0</v>
      </c>
      <c r="H50" s="3240"/>
      <c r="I50" s="3240"/>
      <c r="J50" s="3240"/>
      <c r="K50" s="3240">
        <v>0</v>
      </c>
      <c r="L50" s="3240">
        <f t="shared" si="13"/>
        <v>42</v>
      </c>
      <c r="M50" s="3240">
        <f t="shared" si="18"/>
        <v>42</v>
      </c>
      <c r="N50" s="3240">
        <f t="shared" si="15"/>
        <v>0</v>
      </c>
    </row>
    <row r="51" spans="3:14" ht="14.25" thickBot="1">
      <c r="C51" s="3239" t="str">
        <f t="shared" si="16"/>
        <v>4#</v>
      </c>
      <c r="D51" s="3240">
        <f t="shared" si="9"/>
        <v>11089.36</v>
      </c>
      <c r="E51" s="3240">
        <f t="shared" si="10"/>
        <v>10167.780000000001</v>
      </c>
      <c r="F51" s="3240">
        <f t="shared" ref="F51:G51" si="24">F12</f>
        <v>10167.780000000001</v>
      </c>
      <c r="G51" s="3240">
        <f t="shared" si="24"/>
        <v>0</v>
      </c>
      <c r="H51" s="3240"/>
      <c r="I51" s="3240"/>
      <c r="J51" s="3240"/>
      <c r="K51" s="3240">
        <v>0</v>
      </c>
      <c r="L51" s="3240">
        <f t="shared" si="13"/>
        <v>921.58</v>
      </c>
      <c r="M51" s="3240">
        <f t="shared" si="18"/>
        <v>921.58</v>
      </c>
      <c r="N51" s="3240">
        <f t="shared" si="15"/>
        <v>0</v>
      </c>
    </row>
    <row r="52" spans="3:14" ht="14.25" thickBot="1">
      <c r="C52" s="3239" t="str">
        <f>C14</f>
        <v>幼儿园</v>
      </c>
      <c r="D52" s="3240">
        <f t="shared" si="9"/>
        <v>0</v>
      </c>
      <c r="E52" s="3240">
        <f t="shared" si="10"/>
        <v>0</v>
      </c>
      <c r="F52" s="3240"/>
      <c r="G52" s="3240"/>
      <c r="H52" s="3240"/>
      <c r="I52" s="3240"/>
      <c r="J52" s="3240"/>
      <c r="K52" s="3240"/>
      <c r="L52" s="3240">
        <f t="shared" si="13"/>
        <v>0</v>
      </c>
      <c r="M52" s="3240"/>
      <c r="N52" s="3240">
        <f t="shared" si="15"/>
        <v>0</v>
      </c>
    </row>
    <row r="53" spans="3:14" ht="14.25" thickBot="1">
      <c r="C53" s="3239" t="str">
        <f>C15</f>
        <v>车库</v>
      </c>
      <c r="D53" s="3240">
        <f t="shared" si="9"/>
        <v>24904.22</v>
      </c>
      <c r="E53" s="3240">
        <f t="shared" si="10"/>
        <v>24904.22</v>
      </c>
      <c r="F53" s="3240"/>
      <c r="G53" s="3240"/>
      <c r="H53" s="3240"/>
      <c r="I53" s="3240"/>
      <c r="J53" s="3240"/>
      <c r="K53" s="3240">
        <f>N15</f>
        <v>24904.22</v>
      </c>
      <c r="L53" s="3240">
        <f t="shared" si="13"/>
        <v>0</v>
      </c>
      <c r="M53" s="3240"/>
      <c r="N53" s="3240">
        <v>0</v>
      </c>
    </row>
    <row r="54" spans="3:14" ht="14.25" thickBot="1">
      <c r="C54" s="3248" t="s">
        <v>3283</v>
      </c>
      <c r="D54" s="3240">
        <f>SUM(D43:D53)</f>
        <v>110004.99</v>
      </c>
      <c r="E54" s="3240">
        <f t="shared" ref="E54:N54" si="25">SUM(E43:E53)</f>
        <v>99237.22</v>
      </c>
      <c r="F54" s="3240">
        <f t="shared" si="25"/>
        <v>51839.56</v>
      </c>
      <c r="G54" s="3240">
        <f t="shared" si="25"/>
        <v>19293.439999999999</v>
      </c>
      <c r="H54" s="3240">
        <f t="shared" si="25"/>
        <v>3200</v>
      </c>
      <c r="I54" s="3240">
        <f t="shared" si="25"/>
        <v>0</v>
      </c>
      <c r="J54" s="3240">
        <f t="shared" si="25"/>
        <v>0</v>
      </c>
      <c r="K54" s="3240">
        <f t="shared" si="25"/>
        <v>24904.22</v>
      </c>
      <c r="L54" s="3240">
        <f t="shared" si="25"/>
        <v>10767.77</v>
      </c>
      <c r="M54" s="3240">
        <f t="shared" si="25"/>
        <v>8197.77</v>
      </c>
      <c r="N54" s="3240">
        <f t="shared" si="25"/>
        <v>2570</v>
      </c>
    </row>
    <row r="55" spans="3:14" ht="14.25" thickBot="1">
      <c r="C55" s="3239" t="str">
        <f>C19</f>
        <v>北地块</v>
      </c>
      <c r="D55" s="3240">
        <f t="shared" si="9"/>
        <v>139305</v>
      </c>
      <c r="E55" s="3240">
        <f t="shared" si="10"/>
        <v>118871</v>
      </c>
      <c r="F55" s="3240">
        <f>F19</f>
        <v>66516</v>
      </c>
      <c r="G55" s="3240">
        <f>G19</f>
        <v>21505</v>
      </c>
      <c r="H55" s="3240">
        <f>H19</f>
        <v>4600</v>
      </c>
      <c r="I55" s="3240">
        <v>0</v>
      </c>
      <c r="J55" s="3240">
        <v>0</v>
      </c>
      <c r="K55" s="3240">
        <f>P19</f>
        <v>26250</v>
      </c>
      <c r="L55" s="3240">
        <f>SUM(M55:N55)</f>
        <v>20434</v>
      </c>
      <c r="M55" s="3240">
        <f>O19+L19</f>
        <v>17750</v>
      </c>
      <c r="N55" s="3240">
        <f>M19+I19</f>
        <v>2684</v>
      </c>
    </row>
    <row r="56" spans="3:14" ht="14.25" thickBot="1">
      <c r="C56" s="3239" t="str">
        <f>C20</f>
        <v>中地块</v>
      </c>
      <c r="D56" s="3240">
        <f t="shared" si="9"/>
        <v>163450</v>
      </c>
      <c r="E56" s="3240">
        <f t="shared" si="10"/>
        <v>147555</v>
      </c>
      <c r="F56" s="3240"/>
      <c r="G56" s="3240"/>
      <c r="H56" s="3240"/>
      <c r="I56" s="3240">
        <f>H20+K20</f>
        <v>44170</v>
      </c>
      <c r="J56" s="3240">
        <f>J20</f>
        <v>64080</v>
      </c>
      <c r="K56" s="3240">
        <f>P20</f>
        <v>39305</v>
      </c>
      <c r="L56" s="3240">
        <f t="shared" si="13"/>
        <v>15895</v>
      </c>
      <c r="M56" s="3240">
        <f>O20+L20</f>
        <v>15845</v>
      </c>
      <c r="N56" s="3240">
        <f>M20+I20</f>
        <v>50</v>
      </c>
    </row>
    <row r="57" spans="3:14" ht="14.25" thickBot="1">
      <c r="C57" s="3241" t="s">
        <v>24</v>
      </c>
      <c r="D57" s="3240">
        <f>SUM(D54:D56)</f>
        <v>412759.99</v>
      </c>
      <c r="E57" s="3240">
        <f t="shared" ref="E57:N57" si="26">SUM(E54:E56)</f>
        <v>365663.22</v>
      </c>
      <c r="F57" s="3240">
        <f t="shared" si="26"/>
        <v>118355.56</v>
      </c>
      <c r="G57" s="3240">
        <f t="shared" si="26"/>
        <v>40798.44</v>
      </c>
      <c r="H57" s="3240">
        <f t="shared" si="26"/>
        <v>7800</v>
      </c>
      <c r="I57" s="3240">
        <f t="shared" si="26"/>
        <v>44170</v>
      </c>
      <c r="J57" s="3240">
        <f t="shared" si="26"/>
        <v>64080</v>
      </c>
      <c r="K57" s="3240">
        <f t="shared" si="26"/>
        <v>90459.22</v>
      </c>
      <c r="L57" s="3240">
        <f t="shared" si="26"/>
        <v>47096.770000000004</v>
      </c>
      <c r="M57" s="3240">
        <f t="shared" si="26"/>
        <v>41792.770000000004</v>
      </c>
      <c r="N57" s="3240">
        <f t="shared" si="26"/>
        <v>5304</v>
      </c>
    </row>
  </sheetData>
  <mergeCells count="28">
    <mergeCell ref="L1:P1"/>
    <mergeCell ref="C1:C2"/>
    <mergeCell ref="B3:B5"/>
    <mergeCell ref="B6:B13"/>
    <mergeCell ref="A3:A15"/>
    <mergeCell ref="D1:D2"/>
    <mergeCell ref="A1:A2"/>
    <mergeCell ref="B1:B2"/>
    <mergeCell ref="L17:P17"/>
    <mergeCell ref="A16:C16"/>
    <mergeCell ref="A17:A18"/>
    <mergeCell ref="B17:B18"/>
    <mergeCell ref="C17:C18"/>
    <mergeCell ref="D17:D18"/>
    <mergeCell ref="C39:C42"/>
    <mergeCell ref="D40:D42"/>
    <mergeCell ref="L40:N40"/>
    <mergeCell ref="E41:E42"/>
    <mergeCell ref="I41:I42"/>
    <mergeCell ref="J41:J42"/>
    <mergeCell ref="K41:K42"/>
    <mergeCell ref="L41:L42"/>
    <mergeCell ref="M41:M42"/>
    <mergeCell ref="F41:F42"/>
    <mergeCell ref="G41:G42"/>
    <mergeCell ref="H41:H42"/>
    <mergeCell ref="E40:K40"/>
    <mergeCell ref="D39:N39"/>
  </mergeCells>
  <phoneticPr fontId="2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J13" activePane="bottomRight" state="frozen"/>
      <selection pane="topRight" activeCell="E1" sqref="E1"/>
      <selection pane="bottomLeft" activeCell="A12" sqref="A12"/>
      <selection pane="bottomRight" activeCell="A13" sqref="A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155</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159</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156</v>
      </c>
      <c r="B2" s="17" t="s">
        <v>157</v>
      </c>
      <c r="C2" s="17" t="s">
        <v>158</v>
      </c>
      <c r="D2" s="1188"/>
      <c r="E2" s="998"/>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160</v>
      </c>
      <c r="AZ2" s="2354" t="s">
        <v>2327</v>
      </c>
      <c r="BA2" s="2355" t="s">
        <v>2326</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f>A13+A14+A15</f>
        <v>121315.09999999999</v>
      </c>
      <c r="B3" s="22">
        <f>IF(C3="否",G5-AT5,G5)</f>
        <v>412759.99</v>
      </c>
      <c r="C3" s="23" t="s">
        <v>1672</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56"/>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161</v>
      </c>
      <c r="B5" s="984"/>
      <c r="C5" s="984"/>
      <c r="D5" s="991"/>
      <c r="E5" s="27" t="s">
        <v>1</v>
      </c>
      <c r="F5" s="27">
        <f>SUM(F13:F572)</f>
        <v>0</v>
      </c>
      <c r="G5" s="27">
        <f>SUM(G13:G572)</f>
        <v>412759.99</v>
      </c>
      <c r="H5" s="27">
        <f t="shared" ref="H5:AT5" si="0">SUM(H13:H641)</f>
        <v>365663.22</v>
      </c>
      <c r="I5" s="27">
        <f t="shared" si="0"/>
        <v>118355.56</v>
      </c>
      <c r="J5" s="27">
        <f t="shared" si="0"/>
        <v>0</v>
      </c>
      <c r="K5" s="27">
        <f t="shared" si="0"/>
        <v>40798.44</v>
      </c>
      <c r="L5" s="27">
        <f t="shared" si="0"/>
        <v>0</v>
      </c>
      <c r="M5" s="27">
        <f t="shared" si="0"/>
        <v>7800</v>
      </c>
      <c r="N5" s="27">
        <f t="shared" si="0"/>
        <v>0</v>
      </c>
      <c r="O5" s="27">
        <f t="shared" si="0"/>
        <v>15170</v>
      </c>
      <c r="P5" s="27">
        <f t="shared" si="0"/>
        <v>0</v>
      </c>
      <c r="Q5" s="27">
        <f t="shared" si="0"/>
        <v>64080</v>
      </c>
      <c r="R5" s="27">
        <f t="shared" si="0"/>
        <v>0</v>
      </c>
      <c r="S5" s="27">
        <f t="shared" si="0"/>
        <v>29000</v>
      </c>
      <c r="T5" s="27">
        <f t="shared" si="0"/>
        <v>0</v>
      </c>
      <c r="U5" s="27">
        <f t="shared" si="0"/>
        <v>90459.22</v>
      </c>
      <c r="V5" s="27">
        <f t="shared" si="0"/>
        <v>0</v>
      </c>
      <c r="W5" s="27">
        <f t="shared" si="0"/>
        <v>0</v>
      </c>
      <c r="X5" s="27">
        <f t="shared" si="0"/>
        <v>0</v>
      </c>
      <c r="Y5" s="27">
        <f t="shared" si="0"/>
        <v>0</v>
      </c>
      <c r="Z5" s="27">
        <f t="shared" si="0"/>
        <v>0</v>
      </c>
      <c r="AA5" s="27">
        <f t="shared" si="0"/>
        <v>0</v>
      </c>
      <c r="AB5" s="27">
        <f t="shared" si="0"/>
        <v>0</v>
      </c>
      <c r="AC5" s="27">
        <f t="shared" si="0"/>
        <v>47096.770000000004</v>
      </c>
      <c r="AD5" s="27">
        <f t="shared" si="0"/>
        <v>5304</v>
      </c>
      <c r="AE5" s="27">
        <f t="shared" si="0"/>
        <v>0</v>
      </c>
      <c r="AF5" s="27">
        <f t="shared" si="0"/>
        <v>0</v>
      </c>
      <c r="AG5" s="27">
        <f t="shared" si="0"/>
        <v>0</v>
      </c>
      <c r="AH5" s="27">
        <f t="shared" si="0"/>
        <v>0</v>
      </c>
      <c r="AI5" s="27">
        <f t="shared" si="0"/>
        <v>0</v>
      </c>
      <c r="AJ5" s="27">
        <f t="shared" si="0"/>
        <v>0</v>
      </c>
      <c r="AK5" s="27">
        <f t="shared" si="0"/>
        <v>0</v>
      </c>
      <c r="AL5" s="27">
        <f t="shared" si="0"/>
        <v>1192</v>
      </c>
      <c r="AM5" s="27">
        <f t="shared" si="0"/>
        <v>0</v>
      </c>
      <c r="AN5" s="27">
        <f t="shared" si="0"/>
        <v>40600.770000000004</v>
      </c>
      <c r="AO5" s="27">
        <f t="shared" si="0"/>
        <v>0</v>
      </c>
      <c r="AP5" s="27">
        <f t="shared" si="0"/>
        <v>0</v>
      </c>
      <c r="AQ5" s="27">
        <f t="shared" si="0"/>
        <v>0</v>
      </c>
      <c r="AR5" s="27">
        <f t="shared" si="0"/>
        <v>0</v>
      </c>
      <c r="AS5" s="27">
        <f t="shared" si="0"/>
        <v>0</v>
      </c>
      <c r="AT5" s="27">
        <f t="shared" si="0"/>
        <v>0</v>
      </c>
      <c r="AU5" s="983"/>
      <c r="AV5" s="26" t="s">
        <v>161</v>
      </c>
      <c r="AW5" s="984"/>
      <c r="AX5" s="984"/>
      <c r="AY5" s="28" t="s">
        <v>3</v>
      </c>
      <c r="AZ5" s="29">
        <f t="shared" ref="AZ5:BT5" si="1">SUM(AZ13:AZ641)</f>
        <v>412759.99</v>
      </c>
      <c r="BA5" s="29">
        <f t="shared" si="1"/>
        <v>365663.22</v>
      </c>
      <c r="BB5" s="29">
        <f t="shared" si="1"/>
        <v>118355.56</v>
      </c>
      <c r="BC5" s="29">
        <f t="shared" si="1"/>
        <v>40798.44</v>
      </c>
      <c r="BD5" s="29">
        <f t="shared" si="1"/>
        <v>7800</v>
      </c>
      <c r="BE5" s="29">
        <f t="shared" si="1"/>
        <v>15170</v>
      </c>
      <c r="BF5" s="29">
        <f t="shared" si="1"/>
        <v>64080</v>
      </c>
      <c r="BG5" s="29">
        <f t="shared" si="1"/>
        <v>29000</v>
      </c>
      <c r="BH5" s="29">
        <f t="shared" si="1"/>
        <v>90459.22</v>
      </c>
      <c r="BI5" s="29">
        <f t="shared" si="1"/>
        <v>0</v>
      </c>
      <c r="BJ5" s="29">
        <f t="shared" si="1"/>
        <v>0</v>
      </c>
      <c r="BK5" s="29">
        <f t="shared" si="1"/>
        <v>0</v>
      </c>
      <c r="BL5" s="29">
        <f t="shared" si="1"/>
        <v>47096.770000000004</v>
      </c>
      <c r="BM5" s="29">
        <f t="shared" si="1"/>
        <v>5304</v>
      </c>
      <c r="BN5" s="29">
        <f t="shared" si="1"/>
        <v>0</v>
      </c>
      <c r="BO5" s="29">
        <f t="shared" si="1"/>
        <v>0</v>
      </c>
      <c r="BP5" s="29">
        <f t="shared" si="1"/>
        <v>0</v>
      </c>
      <c r="BQ5" s="29">
        <f t="shared" si="1"/>
        <v>1192</v>
      </c>
      <c r="BR5" s="29">
        <f t="shared" si="1"/>
        <v>40600.770000000004</v>
      </c>
      <c r="BS5" s="29">
        <f t="shared" si="1"/>
        <v>0</v>
      </c>
      <c r="BT5" s="30">
        <f t="shared" si="1"/>
        <v>0</v>
      </c>
    </row>
    <row r="6" spans="1:72" s="37" customFormat="1" ht="12.75">
      <c r="A6" s="26" t="s">
        <v>162</v>
      </c>
      <c r="B6" s="31"/>
      <c r="C6" s="31"/>
      <c r="D6" s="32"/>
      <c r="E6" s="27">
        <f>H6+AC6+AT6</f>
        <v>121315.1</v>
      </c>
      <c r="F6" s="27" t="s">
        <v>1</v>
      </c>
      <c r="G6" s="27" t="s">
        <v>2</v>
      </c>
      <c r="H6" s="33">
        <f>SUMIF(I$12:AB$12,"总值",I6:AB6)</f>
        <v>107472.8</v>
      </c>
      <c r="I6" s="27">
        <f t="shared" ref="I6:AB6" si="2">ROUND($A$3*I5/$B$3,2)</f>
        <v>34786.120000000003</v>
      </c>
      <c r="J6" s="27">
        <f t="shared" si="2"/>
        <v>0</v>
      </c>
      <c r="K6" s="27">
        <f t="shared" si="2"/>
        <v>11991.15</v>
      </c>
      <c r="L6" s="27">
        <f t="shared" si="2"/>
        <v>0</v>
      </c>
      <c r="M6" s="27">
        <f t="shared" si="2"/>
        <v>2292.5100000000002</v>
      </c>
      <c r="N6" s="27">
        <f t="shared" si="2"/>
        <v>0</v>
      </c>
      <c r="O6" s="27">
        <f t="shared" si="2"/>
        <v>4458.6400000000003</v>
      </c>
      <c r="P6" s="27">
        <f t="shared" si="2"/>
        <v>0</v>
      </c>
      <c r="Q6" s="27">
        <f t="shared" si="2"/>
        <v>18833.88</v>
      </c>
      <c r="R6" s="27">
        <f t="shared" si="2"/>
        <v>0</v>
      </c>
      <c r="S6" s="27">
        <f t="shared" si="2"/>
        <v>8523.4500000000007</v>
      </c>
      <c r="T6" s="27">
        <f t="shared" si="2"/>
        <v>0</v>
      </c>
      <c r="U6" s="27">
        <f t="shared" si="2"/>
        <v>26587.05</v>
      </c>
      <c r="V6" s="27">
        <f t="shared" si="2"/>
        <v>0</v>
      </c>
      <c r="W6" s="27">
        <f t="shared" si="2"/>
        <v>0</v>
      </c>
      <c r="X6" s="27">
        <f t="shared" si="2"/>
        <v>0</v>
      </c>
      <c r="Y6" s="27">
        <f t="shared" si="2"/>
        <v>0</v>
      </c>
      <c r="Z6" s="27">
        <f t="shared" si="2"/>
        <v>0</v>
      </c>
      <c r="AA6" s="27">
        <f t="shared" si="2"/>
        <v>0</v>
      </c>
      <c r="AB6" s="27">
        <f t="shared" si="2"/>
        <v>0</v>
      </c>
      <c r="AC6" s="33">
        <f>SUMIF(AD$12:AS$12,"总值",AD6:AS6)</f>
        <v>13842.3</v>
      </c>
      <c r="AD6" s="27">
        <f t="shared" ref="AD6:AS6" si="3">ROUND($A$3*AD5/$B$3,2)</f>
        <v>1558.91</v>
      </c>
      <c r="AE6" s="27">
        <f t="shared" si="3"/>
        <v>0</v>
      </c>
      <c r="AF6" s="27">
        <f t="shared" si="3"/>
        <v>0</v>
      </c>
      <c r="AG6" s="27">
        <f t="shared" si="3"/>
        <v>0</v>
      </c>
      <c r="AH6" s="27">
        <f t="shared" si="3"/>
        <v>0</v>
      </c>
      <c r="AI6" s="27">
        <f t="shared" si="3"/>
        <v>0</v>
      </c>
      <c r="AJ6" s="27">
        <f t="shared" si="3"/>
        <v>0</v>
      </c>
      <c r="AK6" s="27">
        <f t="shared" si="3"/>
        <v>0</v>
      </c>
      <c r="AL6" s="27">
        <f t="shared" si="3"/>
        <v>350.34</v>
      </c>
      <c r="AM6" s="27">
        <f t="shared" si="3"/>
        <v>0</v>
      </c>
      <c r="AN6" s="27">
        <f t="shared" si="3"/>
        <v>11933.05</v>
      </c>
      <c r="AO6" s="27">
        <f t="shared" si="3"/>
        <v>0</v>
      </c>
      <c r="AP6" s="27">
        <f t="shared" si="3"/>
        <v>0</v>
      </c>
      <c r="AQ6" s="27">
        <f t="shared" si="3"/>
        <v>0</v>
      </c>
      <c r="AR6" s="27">
        <f t="shared" si="3"/>
        <v>0</v>
      </c>
      <c r="AS6" s="27">
        <f t="shared" si="3"/>
        <v>0</v>
      </c>
      <c r="AT6" s="33">
        <f>IF(C3="是",ROUND($A$3*AT5/$B$3,2),0)</f>
        <v>0</v>
      </c>
      <c r="AU6" s="34"/>
      <c r="AV6" s="26" t="s">
        <v>162</v>
      </c>
      <c r="AW6" s="31"/>
      <c r="AX6" s="31"/>
      <c r="AY6" s="35">
        <f>IF(AY3&gt;0,AY3,ROUND($A$3*AZ5/$B$3,2))</f>
        <v>121315.1</v>
      </c>
      <c r="AZ6" s="27" t="s">
        <v>3</v>
      </c>
      <c r="BA6" s="27">
        <f>ROUND($AY$6*BA5/$AZ$5,2)</f>
        <v>107472.8</v>
      </c>
      <c r="BB6" s="27">
        <f>ROUND($AY$6*BB5/$AZ$5,2)</f>
        <v>34786.120000000003</v>
      </c>
      <c r="BC6" s="27">
        <f t="shared" ref="BC6:BH6" si="4">ROUND($AY$6*BC5/$AZ$5,2)</f>
        <v>11991.15</v>
      </c>
      <c r="BD6" s="27">
        <f t="shared" si="4"/>
        <v>2292.5100000000002</v>
      </c>
      <c r="BE6" s="27">
        <f t="shared" si="4"/>
        <v>4458.6400000000003</v>
      </c>
      <c r="BF6" s="27">
        <f t="shared" si="4"/>
        <v>18833.88</v>
      </c>
      <c r="BG6" s="27">
        <f t="shared" si="4"/>
        <v>8523.4500000000007</v>
      </c>
      <c r="BH6" s="27">
        <f t="shared" si="4"/>
        <v>26587.05</v>
      </c>
      <c r="BI6" s="27">
        <f t="shared" ref="BI6:BT6" si="5">ROUND($AY$6*BI5/$AZ$5,2)</f>
        <v>0</v>
      </c>
      <c r="BJ6" s="27">
        <f t="shared" si="5"/>
        <v>0</v>
      </c>
      <c r="BK6" s="27">
        <f t="shared" si="5"/>
        <v>0</v>
      </c>
      <c r="BL6" s="27">
        <f t="shared" si="5"/>
        <v>13842.3</v>
      </c>
      <c r="BM6" s="27">
        <f t="shared" si="5"/>
        <v>1558.91</v>
      </c>
      <c r="BN6" s="27">
        <f t="shared" si="5"/>
        <v>0</v>
      </c>
      <c r="BO6" s="27">
        <f t="shared" si="5"/>
        <v>0</v>
      </c>
      <c r="BP6" s="27">
        <f t="shared" si="5"/>
        <v>0</v>
      </c>
      <c r="BQ6" s="27">
        <f t="shared" si="5"/>
        <v>350.34</v>
      </c>
      <c r="BR6" s="27">
        <f t="shared" si="5"/>
        <v>11933.05</v>
      </c>
      <c r="BS6" s="27">
        <f t="shared" si="5"/>
        <v>0</v>
      </c>
      <c r="BT6" s="36">
        <f t="shared" si="5"/>
        <v>0</v>
      </c>
    </row>
    <row r="7" spans="1:72" s="18" customFormat="1" ht="24.75">
      <c r="A7" s="38" t="s">
        <v>163</v>
      </c>
      <c r="B7" s="38" t="s">
        <v>164</v>
      </c>
      <c r="C7" s="38" t="s">
        <v>165</v>
      </c>
      <c r="D7" s="38" t="s">
        <v>166</v>
      </c>
      <c r="E7" s="38" t="s">
        <v>167</v>
      </c>
      <c r="F7" s="38" t="s">
        <v>168</v>
      </c>
      <c r="G7" s="39" t="s">
        <v>169</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1"/>
      <c r="AU7" s="40" t="s">
        <v>170</v>
      </c>
      <c r="AV7" s="41" t="s">
        <v>171</v>
      </c>
      <c r="AW7" s="42" t="s">
        <v>172</v>
      </c>
      <c r="AX7" s="41" t="s">
        <v>173</v>
      </c>
      <c r="AY7" s="984" t="s">
        <v>174</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175</v>
      </c>
      <c r="H8" s="47" t="s">
        <v>176</v>
      </c>
      <c r="I8" s="48"/>
      <c r="J8" s="996"/>
      <c r="K8" s="996"/>
      <c r="L8" s="996"/>
      <c r="M8" s="996"/>
      <c r="N8" s="996"/>
      <c r="O8" s="996"/>
      <c r="P8" s="996"/>
      <c r="Q8" s="996"/>
      <c r="R8" s="996"/>
      <c r="S8" s="996"/>
      <c r="T8" s="996"/>
      <c r="U8" s="996"/>
      <c r="V8" s="49"/>
      <c r="W8" s="996"/>
      <c r="X8" s="996"/>
      <c r="Y8" s="996"/>
      <c r="Z8" s="996"/>
      <c r="AA8" s="49"/>
      <c r="AB8" s="50"/>
      <c r="AC8" s="51" t="s">
        <v>177</v>
      </c>
      <c r="AD8" s="52"/>
      <c r="AE8" s="43"/>
      <c r="AF8" s="996"/>
      <c r="AG8" s="996"/>
      <c r="AH8" s="996"/>
      <c r="AI8" s="996"/>
      <c r="AJ8" s="996"/>
      <c r="AK8" s="996"/>
      <c r="AL8" s="996"/>
      <c r="AM8" s="996"/>
      <c r="AN8" s="996"/>
      <c r="AO8" s="996"/>
      <c r="AP8" s="996"/>
      <c r="AQ8" s="996"/>
      <c r="AR8" s="996"/>
      <c r="AS8" s="2291"/>
      <c r="AT8" s="2322" t="s">
        <v>848</v>
      </c>
      <c r="AU8" s="45" t="s">
        <v>178</v>
      </c>
      <c r="AV8" s="55"/>
      <c r="AW8" s="998"/>
      <c r="AX8" s="55"/>
      <c r="AY8" s="42" t="s">
        <v>179</v>
      </c>
      <c r="AZ8" s="995" t="s">
        <v>180</v>
      </c>
      <c r="BA8" s="996"/>
      <c r="BB8" s="996"/>
      <c r="BC8" s="996"/>
      <c r="BD8" s="996"/>
      <c r="BE8" s="996"/>
      <c r="BF8" s="996"/>
      <c r="BG8" s="996"/>
      <c r="BH8" s="996"/>
      <c r="BI8" s="996"/>
      <c r="BJ8" s="996"/>
      <c r="BK8" s="996"/>
      <c r="BL8" s="996"/>
      <c r="BM8" s="996"/>
      <c r="BN8" s="996"/>
      <c r="BO8" s="996"/>
      <c r="BP8" s="996"/>
      <c r="BQ8" s="996"/>
      <c r="BR8" s="996"/>
      <c r="BS8" s="996"/>
      <c r="BT8" s="56"/>
    </row>
    <row r="9" spans="1:72" s="57" customFormat="1" ht="12.75">
      <c r="A9" s="45"/>
      <c r="B9" s="45"/>
      <c r="C9" s="45"/>
      <c r="D9" s="45"/>
      <c r="E9" s="45"/>
      <c r="F9" s="45"/>
      <c r="G9" s="55"/>
      <c r="H9" s="58" t="s">
        <v>181</v>
      </c>
      <c r="I9" s="3038" t="s">
        <v>2999</v>
      </c>
      <c r="J9" s="51"/>
      <c r="K9" s="3038" t="s">
        <v>2999</v>
      </c>
      <c r="L9" s="51"/>
      <c r="M9" s="3038" t="s">
        <v>2999</v>
      </c>
      <c r="N9" s="51"/>
      <c r="O9" s="59" t="s">
        <v>2999</v>
      </c>
      <c r="P9" s="51"/>
      <c r="Q9" s="59" t="s">
        <v>2999</v>
      </c>
      <c r="R9" s="51"/>
      <c r="S9" s="59" t="s">
        <v>2999</v>
      </c>
      <c r="T9" s="51"/>
      <c r="U9" s="59" t="s">
        <v>3196</v>
      </c>
      <c r="V9" s="51"/>
      <c r="W9" s="59"/>
      <c r="X9" s="60"/>
      <c r="Y9" s="59"/>
      <c r="Z9" s="51"/>
      <c r="AA9" s="59"/>
      <c r="AB9" s="51"/>
      <c r="AC9" s="46" t="s">
        <v>181</v>
      </c>
      <c r="AD9" s="26" t="s">
        <v>182</v>
      </c>
      <c r="AE9" s="61"/>
      <c r="AF9" s="26" t="s">
        <v>183</v>
      </c>
      <c r="AG9" s="61"/>
      <c r="AH9" s="26" t="s">
        <v>184</v>
      </c>
      <c r="AI9" s="61"/>
      <c r="AJ9" s="26" t="s">
        <v>185</v>
      </c>
      <c r="AK9" s="61"/>
      <c r="AL9" s="26" t="s">
        <v>184</v>
      </c>
      <c r="AM9" s="61"/>
      <c r="AN9" s="26" t="s">
        <v>185</v>
      </c>
      <c r="AO9" s="61"/>
      <c r="AP9" s="1182" t="s">
        <v>184</v>
      </c>
      <c r="AQ9" s="1184"/>
      <c r="AR9" s="1182" t="s">
        <v>185</v>
      </c>
      <c r="AS9" s="2323"/>
      <c r="AT9" s="45"/>
      <c r="AU9" s="45" t="s">
        <v>187</v>
      </c>
      <c r="AV9" s="55"/>
      <c r="AW9" s="998"/>
      <c r="AX9" s="55"/>
      <c r="AY9" s="62"/>
      <c r="AZ9" s="62" t="s">
        <v>188</v>
      </c>
      <c r="BA9" s="63" t="s">
        <v>189</v>
      </c>
      <c r="BB9" s="64"/>
      <c r="BC9" s="990"/>
      <c r="BD9" s="990"/>
      <c r="BE9" s="990"/>
      <c r="BF9" s="990"/>
      <c r="BG9" s="990"/>
      <c r="BH9" s="990"/>
      <c r="BI9" s="990"/>
      <c r="BJ9" s="990"/>
      <c r="BK9" s="65"/>
      <c r="BL9" s="26" t="s">
        <v>190</v>
      </c>
      <c r="BM9" s="996"/>
      <c r="BN9" s="48"/>
      <c r="BO9" s="996"/>
      <c r="BP9" s="996"/>
      <c r="BQ9" s="996"/>
      <c r="BR9" s="996"/>
      <c r="BS9" s="996"/>
      <c r="BT9" s="56"/>
    </row>
    <row r="10" spans="1:72" s="57" customFormat="1" ht="12.75">
      <c r="A10" s="45"/>
      <c r="B10" s="45"/>
      <c r="C10" s="45"/>
      <c r="D10" s="45"/>
      <c r="E10" s="45"/>
      <c r="F10" s="45"/>
      <c r="G10" s="55"/>
      <c r="H10" s="62"/>
      <c r="I10" s="3038" t="s">
        <v>916</v>
      </c>
      <c r="J10" s="51"/>
      <c r="K10" s="3040" t="s">
        <v>916</v>
      </c>
      <c r="L10" s="51"/>
      <c r="M10" s="3040" t="s">
        <v>2991</v>
      </c>
      <c r="N10" s="51"/>
      <c r="O10" s="66" t="s">
        <v>2991</v>
      </c>
      <c r="P10" s="51"/>
      <c r="Q10" s="66" t="s">
        <v>1671</v>
      </c>
      <c r="R10" s="51"/>
      <c r="S10" s="66" t="s">
        <v>1671</v>
      </c>
      <c r="T10" s="51"/>
      <c r="U10" s="66" t="s">
        <v>3119</v>
      </c>
      <c r="V10" s="51"/>
      <c r="W10" s="66"/>
      <c r="X10" s="51"/>
      <c r="Y10" s="66"/>
      <c r="Z10" s="51"/>
      <c r="AA10" s="66"/>
      <c r="AB10" s="51"/>
      <c r="AC10" s="55"/>
      <c r="AD10" s="2308" t="s">
        <v>2312</v>
      </c>
      <c r="AE10" s="2330"/>
      <c r="AF10" s="2308" t="s">
        <v>2312</v>
      </c>
      <c r="AG10" s="2330"/>
      <c r="AH10" s="2308" t="s">
        <v>2313</v>
      </c>
      <c r="AI10" s="2330"/>
      <c r="AJ10" s="26" t="s">
        <v>2325</v>
      </c>
      <c r="AK10" s="2327"/>
      <c r="AL10" s="2308" t="s">
        <v>2314</v>
      </c>
      <c r="AM10" s="2309"/>
      <c r="AN10" s="26" t="s">
        <v>191</v>
      </c>
      <c r="AO10" s="61"/>
      <c r="AP10" s="1182" t="s">
        <v>192</v>
      </c>
      <c r="AQ10" s="1184"/>
      <c r="AR10" s="1182" t="s">
        <v>192</v>
      </c>
      <c r="AS10" s="1184"/>
      <c r="AT10" s="45"/>
      <c r="AU10" s="45"/>
      <c r="AV10" s="55"/>
      <c r="AW10" s="998"/>
      <c r="AX10" s="55"/>
      <c r="AY10" s="62"/>
      <c r="AZ10" s="62"/>
      <c r="BA10" s="67" t="s">
        <v>186</v>
      </c>
      <c r="BB10" s="68" t="str">
        <f>I9</f>
        <v>地上</v>
      </c>
      <c r="BC10" s="69" t="str">
        <f>K9</f>
        <v>地上</v>
      </c>
      <c r="BD10" s="69" t="str">
        <f>M9</f>
        <v>地上</v>
      </c>
      <c r="BE10" s="69" t="str">
        <f>O9</f>
        <v>地上</v>
      </c>
      <c r="BF10" s="69" t="str">
        <f>Q9</f>
        <v>地上</v>
      </c>
      <c r="BG10" s="69" t="str">
        <f>S9</f>
        <v>地上</v>
      </c>
      <c r="BH10" s="69" t="str">
        <f>U9</f>
        <v>地下</v>
      </c>
      <c r="BI10" s="69">
        <f>W9</f>
        <v>0</v>
      </c>
      <c r="BJ10" s="69">
        <f>Y9</f>
        <v>0</v>
      </c>
      <c r="BK10" s="69">
        <f>AA9</f>
        <v>0</v>
      </c>
      <c r="BL10" s="54" t="s">
        <v>186</v>
      </c>
      <c r="BM10" s="995" t="str">
        <f>AD9</f>
        <v>地上</v>
      </c>
      <c r="BN10" s="69" t="str">
        <f>AF9</f>
        <v>地下</v>
      </c>
      <c r="BO10" s="995" t="str">
        <f>AH9</f>
        <v>地上</v>
      </c>
      <c r="BP10" s="69" t="str">
        <f>AJ9</f>
        <v>地下</v>
      </c>
      <c r="BQ10" s="995" t="str">
        <f>AL9</f>
        <v>地上</v>
      </c>
      <c r="BR10" s="69" t="str">
        <f>AN9</f>
        <v>地下</v>
      </c>
      <c r="BS10" s="995" t="str">
        <f>AP9</f>
        <v>地上</v>
      </c>
      <c r="BT10" s="993" t="str">
        <f>AR9</f>
        <v>地下</v>
      </c>
    </row>
    <row r="11" spans="1:72" s="57" customFormat="1" ht="12.75">
      <c r="A11" s="45"/>
      <c r="B11" s="45"/>
      <c r="C11" s="45"/>
      <c r="D11" s="45"/>
      <c r="E11" s="45"/>
      <c r="F11" s="45"/>
      <c r="G11" s="55"/>
      <c r="H11" s="67"/>
      <c r="I11" s="3039" t="s">
        <v>3097</v>
      </c>
      <c r="J11" s="71"/>
      <c r="K11" s="3039" t="s">
        <v>3099</v>
      </c>
      <c r="L11" s="71"/>
      <c r="M11" s="70" t="s">
        <v>3000</v>
      </c>
      <c r="N11" s="71"/>
      <c r="O11" s="70" t="s">
        <v>3193</v>
      </c>
      <c r="P11" s="71"/>
      <c r="Q11" s="70" t="s">
        <v>3194</v>
      </c>
      <c r="R11" s="71"/>
      <c r="S11" s="70" t="s">
        <v>3195</v>
      </c>
      <c r="T11" s="71"/>
      <c r="U11" s="70" t="s">
        <v>3119</v>
      </c>
      <c r="V11" s="71"/>
      <c r="W11" s="70"/>
      <c r="X11" s="71"/>
      <c r="Y11" s="70"/>
      <c r="Z11" s="71"/>
      <c r="AA11" s="70"/>
      <c r="AB11" s="71"/>
      <c r="AC11" s="55"/>
      <c r="AD11" s="2328" t="s">
        <v>2324</v>
      </c>
      <c r="AE11" s="997"/>
      <c r="AF11" s="2328" t="s">
        <v>2324</v>
      </c>
      <c r="AG11" s="997"/>
      <c r="AH11" s="2328" t="s">
        <v>2323</v>
      </c>
      <c r="AI11" s="2329"/>
      <c r="AJ11" s="2328" t="s">
        <v>2323</v>
      </c>
      <c r="AK11" s="2327"/>
      <c r="AL11" s="995"/>
      <c r="AM11" s="997"/>
      <c r="AN11" s="995"/>
      <c r="AO11" s="997"/>
      <c r="AP11" s="1183"/>
      <c r="AQ11" s="1185"/>
      <c r="AR11" s="1183"/>
      <c r="AS11" s="1185"/>
      <c r="AT11" s="998"/>
      <c r="AU11" s="45"/>
      <c r="AV11" s="55"/>
      <c r="AW11" s="998"/>
      <c r="AX11" s="55"/>
      <c r="AY11" s="62"/>
      <c r="AZ11" s="62"/>
      <c r="BA11" s="62"/>
      <c r="BB11" s="50" t="str">
        <f>I10</f>
        <v>住宅</v>
      </c>
      <c r="BC11" s="50" t="str">
        <f>K10</f>
        <v>住宅</v>
      </c>
      <c r="BD11" s="50" t="str">
        <f>M10</f>
        <v>商业</v>
      </c>
      <c r="BE11" s="50" t="str">
        <f>O10</f>
        <v>商业</v>
      </c>
      <c r="BF11" s="50" t="str">
        <f>Q10</f>
        <v>办公</v>
      </c>
      <c r="BG11" s="50" t="str">
        <f>S10</f>
        <v>办公</v>
      </c>
      <c r="BH11" s="50" t="str">
        <f>U10</f>
        <v>车库</v>
      </c>
      <c r="BI11" s="50">
        <f>W10</f>
        <v>0</v>
      </c>
      <c r="BJ11" s="50">
        <f>Y10</f>
        <v>0</v>
      </c>
      <c r="BK11" s="50">
        <f>AA10</f>
        <v>0</v>
      </c>
      <c r="BL11" s="55"/>
      <c r="BM11" s="995" t="str">
        <f>AD10</f>
        <v>公共配套设施</v>
      </c>
      <c r="BN11" s="995" t="str">
        <f>AF10</f>
        <v>公共配套设施</v>
      </c>
      <c r="BO11" s="53" t="str">
        <f>AH10</f>
        <v>物业管理用房</v>
      </c>
      <c r="BP11" s="53" t="str">
        <f>AJ10</f>
        <v>物业管理用房</v>
      </c>
      <c r="BQ11" s="53" t="str">
        <f>AL10</f>
        <v>设备及其他</v>
      </c>
      <c r="BR11" s="53" t="str">
        <f>AN10</f>
        <v>设备及其他</v>
      </c>
      <c r="BS11" s="54" t="str">
        <f>AP10</f>
        <v>未注明</v>
      </c>
      <c r="BT11" s="992" t="str">
        <f>AR10</f>
        <v>未注明</v>
      </c>
    </row>
    <row r="12" spans="1:72" s="18" customFormat="1" ht="12.75">
      <c r="A12" s="72"/>
      <c r="B12" s="72"/>
      <c r="C12" s="72"/>
      <c r="D12" s="72"/>
      <c r="E12" s="72"/>
      <c r="F12" s="72"/>
      <c r="G12" s="73"/>
      <c r="H12" s="74"/>
      <c r="I12" s="991" t="s">
        <v>193</v>
      </c>
      <c r="J12" s="17" t="s">
        <v>194</v>
      </c>
      <c r="K12" s="17" t="s">
        <v>193</v>
      </c>
      <c r="L12" s="17" t="s">
        <v>194</v>
      </c>
      <c r="M12" s="17" t="s">
        <v>193</v>
      </c>
      <c r="N12" s="17" t="s">
        <v>194</v>
      </c>
      <c r="O12" s="17" t="s">
        <v>193</v>
      </c>
      <c r="P12" s="17" t="s">
        <v>194</v>
      </c>
      <c r="Q12" s="17" t="s">
        <v>193</v>
      </c>
      <c r="R12" s="17" t="s">
        <v>194</v>
      </c>
      <c r="S12" s="17" t="s">
        <v>193</v>
      </c>
      <c r="T12" s="17" t="s">
        <v>194</v>
      </c>
      <c r="U12" s="17" t="s">
        <v>193</v>
      </c>
      <c r="V12" s="983" t="s">
        <v>194</v>
      </c>
      <c r="W12" s="17" t="s">
        <v>193</v>
      </c>
      <c r="X12" s="17" t="s">
        <v>194</v>
      </c>
      <c r="Y12" s="17" t="s">
        <v>193</v>
      </c>
      <c r="Z12" s="17" t="s">
        <v>194</v>
      </c>
      <c r="AA12" s="17" t="s">
        <v>193</v>
      </c>
      <c r="AB12" s="17" t="s">
        <v>194</v>
      </c>
      <c r="AC12" s="75"/>
      <c r="AD12" s="991" t="s">
        <v>193</v>
      </c>
      <c r="AE12" s="17" t="s">
        <v>194</v>
      </c>
      <c r="AF12" s="17" t="s">
        <v>193</v>
      </c>
      <c r="AG12" s="17" t="s">
        <v>194</v>
      </c>
      <c r="AH12" s="17" t="s">
        <v>193</v>
      </c>
      <c r="AI12" s="17" t="s">
        <v>194</v>
      </c>
      <c r="AJ12" s="17" t="s">
        <v>193</v>
      </c>
      <c r="AK12" s="17" t="s">
        <v>194</v>
      </c>
      <c r="AL12" s="17" t="s">
        <v>193</v>
      </c>
      <c r="AM12" s="17" t="s">
        <v>194</v>
      </c>
      <c r="AN12" s="17" t="s">
        <v>193</v>
      </c>
      <c r="AO12" s="17" t="s">
        <v>194</v>
      </c>
      <c r="AP12" s="1181" t="s">
        <v>193</v>
      </c>
      <c r="AQ12" s="1181" t="s">
        <v>194</v>
      </c>
      <c r="AR12" s="1187" t="s">
        <v>193</v>
      </c>
      <c r="AS12" s="1186" t="s">
        <v>194</v>
      </c>
      <c r="AT12" s="76"/>
      <c r="AU12" s="72"/>
      <c r="AV12" s="77"/>
      <c r="AW12" s="42"/>
      <c r="AX12" s="77"/>
      <c r="AY12" s="78"/>
      <c r="AZ12" s="62"/>
      <c r="BA12" s="67"/>
      <c r="BB12" s="53" t="str">
        <f>I11</f>
        <v>高层住宅</v>
      </c>
      <c r="BC12" s="79" t="str">
        <f>K11</f>
        <v>洋房</v>
      </c>
      <c r="BD12" s="79" t="str">
        <f>M11</f>
        <v>底商</v>
      </c>
      <c r="BE12" s="50" t="str">
        <f>O11</f>
        <v>独立商业</v>
      </c>
      <c r="BF12" s="50" t="str">
        <f>Q11</f>
        <v>办公楼</v>
      </c>
      <c r="BG12" s="50" t="str">
        <f>S11</f>
        <v>标准厂房</v>
      </c>
      <c r="BH12" s="50" t="str">
        <f>U11</f>
        <v>车库</v>
      </c>
      <c r="BI12" s="50">
        <f>W11</f>
        <v>0</v>
      </c>
      <c r="BJ12" s="50">
        <f>Y11</f>
        <v>0</v>
      </c>
      <c r="BK12" s="50">
        <f>AA11</f>
        <v>0</v>
      </c>
      <c r="BL12" s="55"/>
      <c r="BM12" s="995" t="str">
        <f>AD11</f>
        <v>（住宅）</v>
      </c>
      <c r="BN12" s="995" t="str">
        <f>AF11</f>
        <v>（住宅）</v>
      </c>
      <c r="BO12" s="53" t="str">
        <f>AH11</f>
        <v>（住宅、计出让金）</v>
      </c>
      <c r="BP12" s="53" t="str">
        <f>AJ11</f>
        <v>（住宅、计出让金）</v>
      </c>
      <c r="BQ12" s="53">
        <f>AL11</f>
        <v>0</v>
      </c>
      <c r="BR12" s="53">
        <f>AN11</f>
        <v>0</v>
      </c>
      <c r="BS12" s="54">
        <f>AP11</f>
        <v>0</v>
      </c>
      <c r="BT12" s="992">
        <f>AR11</f>
        <v>0</v>
      </c>
    </row>
    <row r="13" spans="1:72" s="18" customFormat="1" ht="12.75">
      <c r="A13" s="3034">
        <v>34393.699999999997</v>
      </c>
      <c r="B13" s="3034"/>
      <c r="C13" s="3034" t="s">
        <v>3189</v>
      </c>
      <c r="D13" s="3035" t="s">
        <v>1672</v>
      </c>
      <c r="E13" s="27">
        <f t="shared" ref="E13:E20" si="6">IF($C$3="是",ROUND($A$3*G13/$B$3,2),ROUND($A$3*(G13-AT13)/$B$3,2))</f>
        <v>32331.78</v>
      </c>
      <c r="F13" s="81"/>
      <c r="G13" s="82">
        <f t="shared" ref="G13:G20" si="7">H13+AC13+AT13</f>
        <v>110004.99</v>
      </c>
      <c r="H13" s="33">
        <f t="shared" ref="H13:H20" si="8">SUMIF(I$12:AB$12,"总值",I13:AB13)</f>
        <v>99237.22</v>
      </c>
      <c r="I13" s="3037">
        <f>面积表!F16</f>
        <v>51839.56</v>
      </c>
      <c r="J13" s="3037"/>
      <c r="K13" s="3037">
        <f>面积表!G16</f>
        <v>19293.439999999999</v>
      </c>
      <c r="L13" s="3037"/>
      <c r="M13" s="3037">
        <f>面积表!H16</f>
        <v>3200</v>
      </c>
      <c r="N13" s="83"/>
      <c r="O13" s="83"/>
      <c r="P13" s="83"/>
      <c r="Q13" s="83"/>
      <c r="R13" s="83"/>
      <c r="S13" s="83"/>
      <c r="T13" s="83"/>
      <c r="U13" s="83">
        <f>面积表!N16</f>
        <v>24904.22</v>
      </c>
      <c r="V13" s="83"/>
      <c r="W13" s="83"/>
      <c r="X13" s="83"/>
      <c r="Y13" s="83"/>
      <c r="Z13" s="83"/>
      <c r="AA13" s="83"/>
      <c r="AB13" s="83"/>
      <c r="AC13" s="27">
        <f t="shared" ref="AC13:AC20" si="9">SUMIF(AD$12:AS$12,"总值",AD13:AS13)</f>
        <v>10767.77</v>
      </c>
      <c r="AD13" s="3041">
        <f>面积表!I16+面积表!K16</f>
        <v>2570</v>
      </c>
      <c r="AE13" s="3041"/>
      <c r="AF13" s="3041"/>
      <c r="AG13" s="3041"/>
      <c r="AH13" s="3041"/>
      <c r="AI13" s="3041"/>
      <c r="AJ13" s="3041"/>
      <c r="AK13" s="3041"/>
      <c r="AL13" s="3041">
        <f>面积表!J16</f>
        <v>42</v>
      </c>
      <c r="AM13" s="3041"/>
      <c r="AN13" s="3041">
        <f>面积表!M16</f>
        <v>8155.77</v>
      </c>
      <c r="AO13" s="3041"/>
      <c r="AP13" s="3041"/>
      <c r="AQ13" s="3041"/>
      <c r="AR13" s="3041"/>
      <c r="AS13" s="3041"/>
      <c r="AT13" s="3042"/>
      <c r="AU13" s="3043"/>
      <c r="AV13" s="17">
        <f t="shared" ref="AV13:AX20" si="10">A13</f>
        <v>34393.699999999997</v>
      </c>
      <c r="AW13" s="17">
        <f t="shared" si="10"/>
        <v>0</v>
      </c>
      <c r="AX13" s="17" t="str">
        <f t="shared" si="10"/>
        <v>南地块</v>
      </c>
      <c r="AY13" s="991">
        <f t="shared" ref="AY13:AY20" si="11">ROUND($AY$6*AZ13/$AZ$5,2)</f>
        <v>32331.78</v>
      </c>
      <c r="AZ13" s="27">
        <f t="shared" ref="AZ13:AZ20" si="12">BA13+BL13</f>
        <v>110004.99</v>
      </c>
      <c r="BA13" s="27">
        <f t="shared" ref="BA13:BA20" si="13">SUM(BB13:BK13)</f>
        <v>99237.22</v>
      </c>
      <c r="BB13" s="27">
        <f t="shared" ref="BB13:BB20" si="14">IF($D13="是",I13-J13,0)</f>
        <v>51839.56</v>
      </c>
      <c r="BC13" s="27">
        <f t="shared" ref="BC13:BC20" si="15">IF($D13="是",K13-L13,0)</f>
        <v>19293.439999999999</v>
      </c>
      <c r="BD13" s="27">
        <f t="shared" ref="BD13:BD20" si="16">IF($D13="是",M13-N13,0)</f>
        <v>3200</v>
      </c>
      <c r="BE13" s="27">
        <f t="shared" ref="BE13:BE20" si="17">IF($D13="是",O13-P13,0)</f>
        <v>0</v>
      </c>
      <c r="BF13" s="27">
        <f t="shared" ref="BF13:BF20" si="18">IF($D13="是",Q13-R13,0)</f>
        <v>0</v>
      </c>
      <c r="BG13" s="27">
        <f t="shared" ref="BG13:BG20" si="19">IF($D13="是",S13-T13,0)</f>
        <v>0</v>
      </c>
      <c r="BH13" s="27">
        <f t="shared" ref="BH13:BH20" si="20">IF($D13="是",U13-V13,0)</f>
        <v>24904.22</v>
      </c>
      <c r="BI13" s="27">
        <f t="shared" ref="BI13:BI20" si="21">IF($D13="是",W13-X13,0)</f>
        <v>0</v>
      </c>
      <c r="BJ13" s="27">
        <f t="shared" ref="BJ13:BJ20" si="22">IF($D13="是",Y13-Z13,0)</f>
        <v>0</v>
      </c>
      <c r="BK13" s="27">
        <f t="shared" ref="BK13:BK20" si="23">IF($D13="是",AA13-AB13,0)</f>
        <v>0</v>
      </c>
      <c r="BL13" s="27">
        <f t="shared" ref="BL13:BL20" si="24">SUM(BM13:BT13)</f>
        <v>10767.77</v>
      </c>
      <c r="BM13" s="27">
        <f t="shared" ref="BM13:BM20" si="25">IF($D13="是",AD13-AE13,0)</f>
        <v>2570</v>
      </c>
      <c r="BN13" s="27">
        <f t="shared" ref="BN13:BN20" si="26">IF($D13="是",AF13-AG13,0)</f>
        <v>0</v>
      </c>
      <c r="BO13" s="27">
        <f t="shared" ref="BO13:BO20" si="27">IF($D13="是",AH13-AI13,0)</f>
        <v>0</v>
      </c>
      <c r="BP13" s="27">
        <f t="shared" ref="BP13:BP20" si="28">IF($D13="是",AJ13-AK13,0)</f>
        <v>0</v>
      </c>
      <c r="BQ13" s="27">
        <f t="shared" ref="BQ13:BQ20" si="29">IF($D13="是",AL13-AM13,0)</f>
        <v>42</v>
      </c>
      <c r="BR13" s="27">
        <f t="shared" ref="BR13:BR20" si="30">IF($D13="是",AN13-AO13,0)</f>
        <v>8155.77</v>
      </c>
      <c r="BS13" s="27">
        <f t="shared" ref="BS13:BS20" si="31">IF($D13="是",AP13-AQ13,0)</f>
        <v>0</v>
      </c>
      <c r="BT13" s="36">
        <f t="shared" ref="BT13:BT20" si="32">IF($D13="是",AR13-AS13,0)</f>
        <v>0</v>
      </c>
    </row>
    <row r="14" spans="1:72" s="18" customFormat="1" ht="12.75">
      <c r="A14" s="3034">
        <v>40473.199999999997</v>
      </c>
      <c r="B14" s="3034"/>
      <c r="C14" s="3034" t="s">
        <v>3190</v>
      </c>
      <c r="D14" s="3035" t="s">
        <v>1672</v>
      </c>
      <c r="E14" s="27">
        <f t="shared" si="6"/>
        <v>40943.410000000003</v>
      </c>
      <c r="F14" s="81"/>
      <c r="G14" s="82">
        <f t="shared" si="7"/>
        <v>139305</v>
      </c>
      <c r="H14" s="33">
        <f t="shared" si="8"/>
        <v>118871</v>
      </c>
      <c r="I14" s="3037">
        <f>面积表!F19</f>
        <v>66516</v>
      </c>
      <c r="J14" s="3037"/>
      <c r="K14" s="3037">
        <f>面积表!G19</f>
        <v>21505</v>
      </c>
      <c r="L14" s="3037"/>
      <c r="M14" s="3037">
        <f>面积表!H19</f>
        <v>4600</v>
      </c>
      <c r="N14" s="83"/>
      <c r="O14" s="83"/>
      <c r="P14" s="83"/>
      <c r="Q14" s="83"/>
      <c r="R14" s="83"/>
      <c r="S14" s="83"/>
      <c r="T14" s="83"/>
      <c r="U14" s="83">
        <f>面积表!P19</f>
        <v>26250</v>
      </c>
      <c r="V14" s="83"/>
      <c r="W14" s="83"/>
      <c r="X14" s="83"/>
      <c r="Y14" s="83"/>
      <c r="Z14" s="83"/>
      <c r="AA14" s="83"/>
      <c r="AB14" s="83"/>
      <c r="AC14" s="27">
        <f t="shared" si="9"/>
        <v>20434</v>
      </c>
      <c r="AD14" s="3041">
        <f>面积表!I19+面积表!M19</f>
        <v>2684</v>
      </c>
      <c r="AE14" s="3041"/>
      <c r="AF14" s="3041"/>
      <c r="AG14" s="3041"/>
      <c r="AH14" s="3041"/>
      <c r="AI14" s="3041"/>
      <c r="AJ14" s="3041"/>
      <c r="AK14" s="3041"/>
      <c r="AL14" s="3041"/>
      <c r="AM14" s="3041"/>
      <c r="AN14" s="3041">
        <f>面积表!O19</f>
        <v>17750</v>
      </c>
      <c r="AO14" s="3041"/>
      <c r="AP14" s="3041"/>
      <c r="AQ14" s="3041"/>
      <c r="AR14" s="3041"/>
      <c r="AS14" s="3041"/>
      <c r="AT14" s="3042"/>
      <c r="AU14" s="3043"/>
      <c r="AV14" s="17">
        <f t="shared" si="10"/>
        <v>40473.199999999997</v>
      </c>
      <c r="AW14" s="17">
        <f t="shared" si="10"/>
        <v>0</v>
      </c>
      <c r="AX14" s="17" t="str">
        <f t="shared" si="10"/>
        <v>北地块</v>
      </c>
      <c r="AY14" s="991">
        <f t="shared" si="11"/>
        <v>40943.410000000003</v>
      </c>
      <c r="AZ14" s="27">
        <f t="shared" si="12"/>
        <v>139305</v>
      </c>
      <c r="BA14" s="27">
        <f t="shared" si="13"/>
        <v>118871</v>
      </c>
      <c r="BB14" s="27">
        <f t="shared" si="14"/>
        <v>66516</v>
      </c>
      <c r="BC14" s="27">
        <f t="shared" si="15"/>
        <v>21505</v>
      </c>
      <c r="BD14" s="27">
        <f t="shared" si="16"/>
        <v>4600</v>
      </c>
      <c r="BE14" s="27">
        <f t="shared" si="17"/>
        <v>0</v>
      </c>
      <c r="BF14" s="27">
        <f t="shared" si="18"/>
        <v>0</v>
      </c>
      <c r="BG14" s="27">
        <f t="shared" si="19"/>
        <v>0</v>
      </c>
      <c r="BH14" s="27">
        <f t="shared" si="20"/>
        <v>26250</v>
      </c>
      <c r="BI14" s="27">
        <f t="shared" si="21"/>
        <v>0</v>
      </c>
      <c r="BJ14" s="27">
        <f t="shared" si="22"/>
        <v>0</v>
      </c>
      <c r="BK14" s="27">
        <f t="shared" si="23"/>
        <v>0</v>
      </c>
      <c r="BL14" s="27">
        <f t="shared" si="24"/>
        <v>20434</v>
      </c>
      <c r="BM14" s="27">
        <f t="shared" si="25"/>
        <v>2684</v>
      </c>
      <c r="BN14" s="27">
        <f t="shared" si="26"/>
        <v>0</v>
      </c>
      <c r="BO14" s="27">
        <f t="shared" si="27"/>
        <v>0</v>
      </c>
      <c r="BP14" s="27">
        <f t="shared" si="28"/>
        <v>0</v>
      </c>
      <c r="BQ14" s="27">
        <f t="shared" si="29"/>
        <v>0</v>
      </c>
      <c r="BR14" s="27">
        <f t="shared" si="30"/>
        <v>17750</v>
      </c>
      <c r="BS14" s="27">
        <f t="shared" si="31"/>
        <v>0</v>
      </c>
      <c r="BT14" s="36">
        <f t="shared" si="32"/>
        <v>0</v>
      </c>
    </row>
    <row r="15" spans="1:72" s="18" customFormat="1" ht="12.75">
      <c r="A15" s="3034">
        <v>46448.2</v>
      </c>
      <c r="B15" s="3034"/>
      <c r="C15" s="3034" t="s">
        <v>3191</v>
      </c>
      <c r="D15" s="3035" t="s">
        <v>1672</v>
      </c>
      <c r="E15" s="27">
        <f t="shared" si="6"/>
        <v>48039.91</v>
      </c>
      <c r="F15" s="81"/>
      <c r="G15" s="82">
        <f t="shared" si="7"/>
        <v>163450</v>
      </c>
      <c r="H15" s="33">
        <f t="shared" si="8"/>
        <v>147555</v>
      </c>
      <c r="I15" s="3037"/>
      <c r="J15" s="3037"/>
      <c r="K15" s="3037"/>
      <c r="L15" s="3037"/>
      <c r="M15" s="3037"/>
      <c r="N15" s="83"/>
      <c r="O15" s="83">
        <f>面积表!H20</f>
        <v>15170</v>
      </c>
      <c r="P15" s="83"/>
      <c r="Q15" s="83">
        <f>面积表!J20</f>
        <v>64080</v>
      </c>
      <c r="R15" s="83"/>
      <c r="S15" s="83">
        <f>面积表!K20</f>
        <v>29000</v>
      </c>
      <c r="T15" s="83"/>
      <c r="U15" s="83">
        <f>面积表!P20</f>
        <v>39305</v>
      </c>
      <c r="V15" s="83"/>
      <c r="W15" s="83"/>
      <c r="X15" s="83"/>
      <c r="Y15" s="83"/>
      <c r="Z15" s="83"/>
      <c r="AA15" s="83"/>
      <c r="AB15" s="83"/>
      <c r="AC15" s="27">
        <f t="shared" si="9"/>
        <v>15895</v>
      </c>
      <c r="AD15" s="3041">
        <f>面积表!M20</f>
        <v>50</v>
      </c>
      <c r="AE15" s="3041"/>
      <c r="AF15" s="3041"/>
      <c r="AG15" s="3041"/>
      <c r="AH15" s="3041"/>
      <c r="AI15" s="3041"/>
      <c r="AJ15" s="3041"/>
      <c r="AK15" s="3041"/>
      <c r="AL15" s="3041">
        <f>面积表!L20</f>
        <v>1150</v>
      </c>
      <c r="AM15" s="3041"/>
      <c r="AN15" s="3211">
        <f>面积表!O20</f>
        <v>14695</v>
      </c>
      <c r="AO15" s="3041"/>
      <c r="AP15" s="3041"/>
      <c r="AQ15" s="3041"/>
      <c r="AR15" s="3041"/>
      <c r="AS15" s="3041"/>
      <c r="AT15" s="3042"/>
      <c r="AU15" s="3043"/>
      <c r="AV15" s="17">
        <f t="shared" si="10"/>
        <v>46448.2</v>
      </c>
      <c r="AW15" s="17">
        <f t="shared" si="10"/>
        <v>0</v>
      </c>
      <c r="AX15" s="17" t="str">
        <f t="shared" si="10"/>
        <v>中地块</v>
      </c>
      <c r="AY15" s="991">
        <f t="shared" si="11"/>
        <v>48039.91</v>
      </c>
      <c r="AZ15" s="27">
        <f t="shared" si="12"/>
        <v>163450</v>
      </c>
      <c r="BA15" s="27">
        <f t="shared" si="13"/>
        <v>147555</v>
      </c>
      <c r="BB15" s="27">
        <f t="shared" si="14"/>
        <v>0</v>
      </c>
      <c r="BC15" s="27">
        <f t="shared" si="15"/>
        <v>0</v>
      </c>
      <c r="BD15" s="27">
        <f t="shared" si="16"/>
        <v>0</v>
      </c>
      <c r="BE15" s="27">
        <f t="shared" si="17"/>
        <v>15170</v>
      </c>
      <c r="BF15" s="27">
        <f t="shared" si="18"/>
        <v>64080</v>
      </c>
      <c r="BG15" s="27">
        <f t="shared" si="19"/>
        <v>29000</v>
      </c>
      <c r="BH15" s="27">
        <f t="shared" si="20"/>
        <v>39305</v>
      </c>
      <c r="BI15" s="27">
        <f t="shared" si="21"/>
        <v>0</v>
      </c>
      <c r="BJ15" s="27">
        <f t="shared" si="22"/>
        <v>0</v>
      </c>
      <c r="BK15" s="27">
        <f t="shared" si="23"/>
        <v>0</v>
      </c>
      <c r="BL15" s="27">
        <f t="shared" si="24"/>
        <v>15895</v>
      </c>
      <c r="BM15" s="27">
        <f t="shared" si="25"/>
        <v>50</v>
      </c>
      <c r="BN15" s="27">
        <f t="shared" si="26"/>
        <v>0</v>
      </c>
      <c r="BO15" s="27">
        <f t="shared" si="27"/>
        <v>0</v>
      </c>
      <c r="BP15" s="27">
        <f t="shared" si="28"/>
        <v>0</v>
      </c>
      <c r="BQ15" s="27">
        <f t="shared" si="29"/>
        <v>1150</v>
      </c>
      <c r="BR15" s="27">
        <f t="shared" si="30"/>
        <v>14695</v>
      </c>
      <c r="BS15" s="27">
        <f t="shared" si="31"/>
        <v>0</v>
      </c>
      <c r="BT15" s="36">
        <f t="shared" si="32"/>
        <v>0</v>
      </c>
    </row>
    <row r="16" spans="1:72" s="18" customFormat="1" ht="12.75">
      <c r="A16" s="3034"/>
      <c r="B16" s="3034"/>
      <c r="C16" s="3034" t="s">
        <v>3192</v>
      </c>
      <c r="D16" s="3035" t="s">
        <v>2992</v>
      </c>
      <c r="E16" s="27">
        <f t="shared" si="6"/>
        <v>0</v>
      </c>
      <c r="F16" s="81"/>
      <c r="G16" s="82">
        <f t="shared" si="7"/>
        <v>0</v>
      </c>
      <c r="H16" s="33">
        <f t="shared" si="8"/>
        <v>0</v>
      </c>
      <c r="I16" s="3037"/>
      <c r="J16" s="3037"/>
      <c r="K16" s="3037"/>
      <c r="L16" s="3037"/>
      <c r="M16" s="3037"/>
      <c r="N16" s="83"/>
      <c r="O16" s="83"/>
      <c r="P16" s="83"/>
      <c r="Q16" s="83"/>
      <c r="R16" s="83"/>
      <c r="S16" s="83"/>
      <c r="T16" s="83"/>
      <c r="U16" s="83"/>
      <c r="V16" s="83"/>
      <c r="W16" s="83"/>
      <c r="X16" s="83"/>
      <c r="Y16" s="83"/>
      <c r="Z16" s="83"/>
      <c r="AA16" s="83"/>
      <c r="AB16" s="83"/>
      <c r="AC16" s="27">
        <f t="shared" si="9"/>
        <v>0</v>
      </c>
      <c r="AD16" s="3041">
        <v>0</v>
      </c>
      <c r="AE16" s="3041"/>
      <c r="AF16" s="3041"/>
      <c r="AG16" s="3041"/>
      <c r="AH16" s="3041"/>
      <c r="AI16" s="3041"/>
      <c r="AJ16" s="3041"/>
      <c r="AK16" s="3041"/>
      <c r="AL16" s="3041"/>
      <c r="AM16" s="3041"/>
      <c r="AN16" s="3041"/>
      <c r="AO16" s="3041"/>
      <c r="AP16" s="3041"/>
      <c r="AQ16" s="3041"/>
      <c r="AR16" s="3041"/>
      <c r="AS16" s="3041"/>
      <c r="AT16" s="3042"/>
      <c r="AU16" s="3043"/>
      <c r="AV16" s="17">
        <f t="shared" si="10"/>
        <v>0</v>
      </c>
      <c r="AW16" s="17">
        <f t="shared" si="10"/>
        <v>0</v>
      </c>
      <c r="AX16" s="17" t="str">
        <f t="shared" si="10"/>
        <v>幼儿园</v>
      </c>
      <c r="AY16" s="991">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4"/>
      <c r="B17" s="3034"/>
      <c r="C17" s="3034"/>
      <c r="D17" s="3035"/>
      <c r="E17" s="27">
        <f t="shared" si="6"/>
        <v>0</v>
      </c>
      <c r="F17" s="81"/>
      <c r="G17" s="82">
        <f t="shared" si="7"/>
        <v>0</v>
      </c>
      <c r="H17" s="33">
        <f t="shared" si="8"/>
        <v>0</v>
      </c>
      <c r="I17" s="3037"/>
      <c r="J17" s="3037"/>
      <c r="K17" s="3037"/>
      <c r="L17" s="3037"/>
      <c r="M17" s="3037"/>
      <c r="N17" s="83"/>
      <c r="O17" s="83"/>
      <c r="P17" s="83"/>
      <c r="Q17" s="83"/>
      <c r="R17" s="83"/>
      <c r="S17" s="83"/>
      <c r="T17" s="83"/>
      <c r="U17" s="83"/>
      <c r="V17" s="83"/>
      <c r="W17" s="83"/>
      <c r="X17" s="83"/>
      <c r="Y17" s="83"/>
      <c r="Z17" s="83"/>
      <c r="AA17" s="83"/>
      <c r="AB17" s="83"/>
      <c r="AC17" s="27">
        <f t="shared" si="9"/>
        <v>0</v>
      </c>
      <c r="AD17" s="3041"/>
      <c r="AE17" s="3041"/>
      <c r="AF17" s="3041"/>
      <c r="AG17" s="3041"/>
      <c r="AH17" s="3041"/>
      <c r="AI17" s="3041"/>
      <c r="AJ17" s="3041"/>
      <c r="AK17" s="3041"/>
      <c r="AL17" s="3041"/>
      <c r="AM17" s="3041"/>
      <c r="AN17" s="3041"/>
      <c r="AO17" s="3041"/>
      <c r="AP17" s="3041"/>
      <c r="AQ17" s="3041"/>
      <c r="AR17" s="3041"/>
      <c r="AS17" s="3041"/>
      <c r="AT17" s="3042"/>
      <c r="AU17" s="3043"/>
      <c r="AV17" s="17">
        <f t="shared" si="10"/>
        <v>0</v>
      </c>
      <c r="AW17" s="17">
        <f t="shared" si="10"/>
        <v>0</v>
      </c>
      <c r="AX17" s="17">
        <f t="shared" si="10"/>
        <v>0</v>
      </c>
      <c r="AY17" s="991">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36"/>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9"/>
      <c r="AM18" s="92"/>
      <c r="AN18" s="1389"/>
      <c r="AO18" s="92"/>
      <c r="AP18" s="92"/>
      <c r="AQ18" s="92"/>
      <c r="AR18" s="92"/>
      <c r="AS18" s="92"/>
      <c r="AT18" s="93"/>
      <c r="AU18" s="94"/>
      <c r="AV18" s="987">
        <f t="shared" si="10"/>
        <v>0</v>
      </c>
      <c r="AW18" s="987">
        <f t="shared" si="10"/>
        <v>0</v>
      </c>
      <c r="AX18" s="987">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87">
        <f t="shared" si="10"/>
        <v>0</v>
      </c>
      <c r="AW19" s="987">
        <f t="shared" si="10"/>
        <v>0</v>
      </c>
      <c r="AX19" s="987">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87">
        <f t="shared" si="10"/>
        <v>0</v>
      </c>
      <c r="AW20" s="987">
        <f t="shared" si="10"/>
        <v>0</v>
      </c>
      <c r="AX20" s="987">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9"/>
      <c r="AO21" s="92"/>
      <c r="AP21" s="92"/>
      <c r="AQ21" s="92"/>
      <c r="AR21" s="92"/>
      <c r="AS21" s="92"/>
      <c r="AT21" s="93"/>
      <c r="AU21" s="94"/>
      <c r="AV21" s="1973">
        <f t="shared" ref="AV21:AV112" si="37">A21</f>
        <v>0</v>
      </c>
      <c r="AW21" s="1973">
        <f t="shared" ref="AW21:AW112" si="38">B21</f>
        <v>0</v>
      </c>
      <c r="AX21" s="197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c r="D22" s="80"/>
      <c r="E22" s="87">
        <f t="shared" si="33"/>
        <v>0</v>
      </c>
      <c r="F22" s="88"/>
      <c r="G22" s="89">
        <f t="shared" si="34"/>
        <v>0</v>
      </c>
      <c r="H22" s="90">
        <f t="shared" si="35"/>
        <v>0</v>
      </c>
      <c r="I22" s="1391"/>
      <c r="J22" s="91"/>
      <c r="K22" s="1391"/>
      <c r="L22" s="91"/>
      <c r="M22" s="1359"/>
      <c r="N22" s="91"/>
      <c r="O22" s="91"/>
      <c r="P22" s="91"/>
      <c r="Q22" s="91"/>
      <c r="R22" s="91"/>
      <c r="S22" s="91"/>
      <c r="T22" s="91"/>
      <c r="U22" s="91"/>
      <c r="V22" s="91"/>
      <c r="W22" s="91"/>
      <c r="X22" s="91"/>
      <c r="Y22" s="91"/>
      <c r="Z22" s="91"/>
      <c r="AA22" s="91"/>
      <c r="AB22" s="91"/>
      <c r="AC22" s="87">
        <f t="shared" si="36"/>
        <v>0</v>
      </c>
      <c r="AD22" s="1359"/>
      <c r="AE22" s="92"/>
      <c r="AF22" s="1392"/>
      <c r="AG22" s="92"/>
      <c r="AH22" s="92"/>
      <c r="AI22" s="92"/>
      <c r="AJ22" s="92"/>
      <c r="AK22" s="92"/>
      <c r="AL22" s="1359"/>
      <c r="AM22" s="92"/>
      <c r="AN22" s="1359"/>
      <c r="AO22" s="92"/>
      <c r="AP22" s="92"/>
      <c r="AQ22" s="92"/>
      <c r="AR22" s="92"/>
      <c r="AS22" s="92"/>
      <c r="AT22" s="93"/>
      <c r="AU22" s="94"/>
      <c r="AV22" s="1973">
        <f t="shared" si="37"/>
        <v>0</v>
      </c>
      <c r="AW22" s="1973">
        <f t="shared" si="38"/>
        <v>0</v>
      </c>
      <c r="AX22" s="197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8"/>
      <c r="C23" s="1389"/>
      <c r="D23" s="80"/>
      <c r="E23" s="87">
        <f t="shared" si="33"/>
        <v>0</v>
      </c>
      <c r="F23" s="88"/>
      <c r="G23" s="89">
        <f t="shared" si="34"/>
        <v>0</v>
      </c>
      <c r="H23" s="90">
        <f t="shared" si="35"/>
        <v>0</v>
      </c>
      <c r="I23" s="1391"/>
      <c r="J23" s="91"/>
      <c r="K23" s="1391"/>
      <c r="L23" s="91"/>
      <c r="M23" s="1359"/>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9"/>
      <c r="AM23" s="92"/>
      <c r="AN23" s="1359"/>
      <c r="AO23" s="92"/>
      <c r="AP23" s="92"/>
      <c r="AQ23" s="92"/>
      <c r="AR23" s="92"/>
      <c r="AS23" s="92"/>
      <c r="AT23" s="93"/>
      <c r="AU23" s="94"/>
      <c r="AV23" s="1973">
        <f t="shared" si="37"/>
        <v>0</v>
      </c>
      <c r="AW23" s="1973">
        <f t="shared" si="38"/>
        <v>0</v>
      </c>
      <c r="AX23" s="197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59"/>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9"/>
      <c r="AO24" s="92"/>
      <c r="AP24" s="92"/>
      <c r="AQ24" s="92"/>
      <c r="AR24" s="92"/>
      <c r="AS24" s="92"/>
      <c r="AT24" s="93"/>
      <c r="AU24" s="94"/>
      <c r="AV24" s="1973">
        <f t="shared" si="37"/>
        <v>0</v>
      </c>
      <c r="AW24" s="1973">
        <f t="shared" si="38"/>
        <v>0</v>
      </c>
      <c r="AX24" s="197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73">
        <f t="shared" si="37"/>
        <v>0</v>
      </c>
      <c r="AW25" s="1973">
        <f t="shared" si="38"/>
        <v>0</v>
      </c>
      <c r="AX25" s="197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73">
        <f t="shared" si="37"/>
        <v>0</v>
      </c>
      <c r="AW26" s="1973">
        <f t="shared" si="38"/>
        <v>0</v>
      </c>
      <c r="AX26" s="197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73">
        <f t="shared" si="37"/>
        <v>0</v>
      </c>
      <c r="AW27" s="1973">
        <f t="shared" si="38"/>
        <v>0</v>
      </c>
      <c r="AX27" s="197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73">
        <f t="shared" si="37"/>
        <v>0</v>
      </c>
      <c r="AW28" s="1973">
        <f t="shared" si="38"/>
        <v>0</v>
      </c>
      <c r="AX28" s="197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73">
        <f t="shared" si="37"/>
        <v>0</v>
      </c>
      <c r="AW29" s="1973">
        <f t="shared" si="38"/>
        <v>0</v>
      </c>
      <c r="AX29" s="197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73">
        <f t="shared" si="37"/>
        <v>0</v>
      </c>
      <c r="AW30" s="1973">
        <f t="shared" si="38"/>
        <v>0</v>
      </c>
      <c r="AX30" s="197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73">
        <f t="shared" si="37"/>
        <v>0</v>
      </c>
      <c r="AW31" s="1973">
        <f t="shared" si="38"/>
        <v>0</v>
      </c>
      <c r="AX31" s="197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73">
        <f t="shared" si="37"/>
        <v>0</v>
      </c>
      <c r="AW32" s="1973">
        <f t="shared" si="38"/>
        <v>0</v>
      </c>
      <c r="AX32" s="197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73">
        <f t="shared" si="37"/>
        <v>0</v>
      </c>
      <c r="AW33" s="1973">
        <f t="shared" si="38"/>
        <v>0</v>
      </c>
      <c r="AX33" s="197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73">
        <f t="shared" si="37"/>
        <v>0</v>
      </c>
      <c r="AW34" s="1973">
        <f t="shared" si="38"/>
        <v>0</v>
      </c>
      <c r="AX34" s="197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73">
        <f t="shared" si="37"/>
        <v>0</v>
      </c>
      <c r="AW35" s="1973">
        <f t="shared" si="38"/>
        <v>0</v>
      </c>
      <c r="AX35" s="197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73">
        <f t="shared" si="37"/>
        <v>0</v>
      </c>
      <c r="AW36" s="1973">
        <f t="shared" si="38"/>
        <v>0</v>
      </c>
      <c r="AX36" s="197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73">
        <f t="shared" si="37"/>
        <v>0</v>
      </c>
      <c r="AW37" s="1973">
        <f t="shared" si="38"/>
        <v>0</v>
      </c>
      <c r="AX37" s="197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73">
        <f t="shared" si="37"/>
        <v>0</v>
      </c>
      <c r="AW38" s="1973">
        <f t="shared" si="38"/>
        <v>0</v>
      </c>
      <c r="AX38" s="197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73">
        <f t="shared" si="37"/>
        <v>0</v>
      </c>
      <c r="AW39" s="1973">
        <f t="shared" si="38"/>
        <v>0</v>
      </c>
      <c r="AX39" s="197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73">
        <f t="shared" si="37"/>
        <v>0</v>
      </c>
      <c r="AW40" s="1973">
        <f t="shared" si="38"/>
        <v>0</v>
      </c>
      <c r="AX40" s="197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73">
        <f t="shared" si="37"/>
        <v>0</v>
      </c>
      <c r="AW41" s="1973">
        <f t="shared" si="38"/>
        <v>0</v>
      </c>
      <c r="AX41" s="197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73">
        <f t="shared" si="37"/>
        <v>0</v>
      </c>
      <c r="AW42" s="1973">
        <f t="shared" si="38"/>
        <v>0</v>
      </c>
      <c r="AX42" s="197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73">
        <f t="shared" si="37"/>
        <v>0</v>
      </c>
      <c r="AW43" s="1973">
        <f t="shared" si="38"/>
        <v>0</v>
      </c>
      <c r="AX43" s="197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73">
        <f t="shared" si="37"/>
        <v>0</v>
      </c>
      <c r="AW44" s="1973">
        <f t="shared" si="38"/>
        <v>0</v>
      </c>
      <c r="AX44" s="197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73">
        <f t="shared" si="37"/>
        <v>0</v>
      </c>
      <c r="AW45" s="1973">
        <f t="shared" si="38"/>
        <v>0</v>
      </c>
      <c r="AX45" s="197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73">
        <f t="shared" si="37"/>
        <v>0</v>
      </c>
      <c r="AW46" s="1973">
        <f t="shared" si="38"/>
        <v>0</v>
      </c>
      <c r="AX46" s="197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73">
        <f t="shared" si="37"/>
        <v>0</v>
      </c>
      <c r="AW47" s="1973">
        <f t="shared" si="38"/>
        <v>0</v>
      </c>
      <c r="AX47" s="197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73">
        <f t="shared" si="37"/>
        <v>0</v>
      </c>
      <c r="AW48" s="1973">
        <f t="shared" si="38"/>
        <v>0</v>
      </c>
      <c r="AX48" s="197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73">
        <f t="shared" si="37"/>
        <v>0</v>
      </c>
      <c r="AW49" s="1973">
        <f t="shared" si="38"/>
        <v>0</v>
      </c>
      <c r="AX49" s="197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73">
        <f t="shared" si="37"/>
        <v>0</v>
      </c>
      <c r="AW50" s="1973">
        <f t="shared" si="38"/>
        <v>0</v>
      </c>
      <c r="AX50" s="197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73">
        <f t="shared" si="37"/>
        <v>0</v>
      </c>
      <c r="AW51" s="1973">
        <f t="shared" si="38"/>
        <v>0</v>
      </c>
      <c r="AX51" s="197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73">
        <f t="shared" si="37"/>
        <v>0</v>
      </c>
      <c r="AW52" s="1973">
        <f t="shared" si="38"/>
        <v>0</v>
      </c>
      <c r="AX52" s="197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73">
        <f t="shared" si="37"/>
        <v>0</v>
      </c>
      <c r="AW53" s="1973">
        <f t="shared" si="38"/>
        <v>0</v>
      </c>
      <c r="AX53" s="197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73">
        <f t="shared" si="37"/>
        <v>0</v>
      </c>
      <c r="AW54" s="1973">
        <f t="shared" si="38"/>
        <v>0</v>
      </c>
      <c r="AX54" s="197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73">
        <f t="shared" si="37"/>
        <v>0</v>
      </c>
      <c r="AW55" s="1973">
        <f t="shared" si="38"/>
        <v>0</v>
      </c>
      <c r="AX55" s="197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3">
        <f t="shared" si="37"/>
        <v>0</v>
      </c>
      <c r="AW56" s="1973">
        <f t="shared" si="38"/>
        <v>0</v>
      </c>
      <c r="AX56" s="197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3">
        <f t="shared" si="37"/>
        <v>0</v>
      </c>
      <c r="AW57" s="1973">
        <f t="shared" si="38"/>
        <v>0</v>
      </c>
      <c r="AX57" s="197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3">
        <f t="shared" si="37"/>
        <v>0</v>
      </c>
      <c r="AW58" s="1973">
        <f t="shared" si="38"/>
        <v>0</v>
      </c>
      <c r="AX58" s="197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3">
        <f t="shared" si="37"/>
        <v>0</v>
      </c>
      <c r="AW59" s="1973">
        <f t="shared" si="38"/>
        <v>0</v>
      </c>
      <c r="AX59" s="197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3">
        <f t="shared" si="37"/>
        <v>0</v>
      </c>
      <c r="AW60" s="1973">
        <f t="shared" si="38"/>
        <v>0</v>
      </c>
      <c r="AX60" s="197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3">
        <f t="shared" si="37"/>
        <v>0</v>
      </c>
      <c r="AW61" s="1973">
        <f t="shared" si="38"/>
        <v>0</v>
      </c>
      <c r="AX61" s="197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3">
        <f t="shared" si="37"/>
        <v>0</v>
      </c>
      <c r="AW62" s="1973">
        <f t="shared" si="38"/>
        <v>0</v>
      </c>
      <c r="AX62" s="197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3">
        <f t="shared" si="37"/>
        <v>0</v>
      </c>
      <c r="AW63" s="1973">
        <f t="shared" si="38"/>
        <v>0</v>
      </c>
      <c r="AX63" s="197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3">
        <f t="shared" si="37"/>
        <v>0</v>
      </c>
      <c r="AW64" s="1973">
        <f t="shared" si="38"/>
        <v>0</v>
      </c>
      <c r="AX64" s="197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3">
        <f t="shared" si="37"/>
        <v>0</v>
      </c>
      <c r="AW65" s="1973">
        <f t="shared" si="38"/>
        <v>0</v>
      </c>
      <c r="AX65" s="197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3">
        <f t="shared" si="37"/>
        <v>0</v>
      </c>
      <c r="AW66" s="1973">
        <f t="shared" si="38"/>
        <v>0</v>
      </c>
      <c r="AX66" s="197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3">
        <f t="shared" si="37"/>
        <v>0</v>
      </c>
      <c r="AW67" s="1973">
        <f t="shared" si="38"/>
        <v>0</v>
      </c>
      <c r="AX67" s="197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3">
        <f t="shared" si="37"/>
        <v>0</v>
      </c>
      <c r="AW68" s="1973">
        <f t="shared" si="38"/>
        <v>0</v>
      </c>
      <c r="AX68" s="197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3">
        <f t="shared" si="37"/>
        <v>0</v>
      </c>
      <c r="AW69" s="1973">
        <f t="shared" si="38"/>
        <v>0</v>
      </c>
      <c r="AX69" s="197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3">
        <f t="shared" si="37"/>
        <v>0</v>
      </c>
      <c r="AW70" s="1973">
        <f t="shared" si="38"/>
        <v>0</v>
      </c>
      <c r="AX70" s="197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3">
        <f t="shared" si="37"/>
        <v>0</v>
      </c>
      <c r="AW71" s="1973">
        <f t="shared" si="38"/>
        <v>0</v>
      </c>
      <c r="AX71" s="197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3">
        <f t="shared" si="37"/>
        <v>0</v>
      </c>
      <c r="AW72" s="1973">
        <f t="shared" si="38"/>
        <v>0</v>
      </c>
      <c r="AX72" s="197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3">
        <f t="shared" si="37"/>
        <v>0</v>
      </c>
      <c r="AW73" s="1973">
        <f t="shared" si="38"/>
        <v>0</v>
      </c>
      <c r="AX73" s="197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3">
        <f t="shared" si="37"/>
        <v>0</v>
      </c>
      <c r="AW74" s="1973">
        <f t="shared" si="38"/>
        <v>0</v>
      </c>
      <c r="AX74" s="197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3">
        <f t="shared" si="37"/>
        <v>0</v>
      </c>
      <c r="AW75" s="1973">
        <f t="shared" si="38"/>
        <v>0</v>
      </c>
      <c r="AX75" s="197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3">
        <f t="shared" si="37"/>
        <v>0</v>
      </c>
      <c r="AW76" s="1973">
        <f t="shared" si="38"/>
        <v>0</v>
      </c>
      <c r="AX76" s="197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3">
        <f t="shared" si="37"/>
        <v>0</v>
      </c>
      <c r="AW77" s="1973">
        <f t="shared" si="38"/>
        <v>0</v>
      </c>
      <c r="AX77" s="197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3">
        <f t="shared" si="37"/>
        <v>0</v>
      </c>
      <c r="AW78" s="1973">
        <f t="shared" si="38"/>
        <v>0</v>
      </c>
      <c r="AX78" s="197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3">
        <f t="shared" si="37"/>
        <v>0</v>
      </c>
      <c r="AW79" s="1973">
        <f t="shared" si="38"/>
        <v>0</v>
      </c>
      <c r="AX79" s="197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3">
        <f t="shared" si="37"/>
        <v>0</v>
      </c>
      <c r="AW80" s="1973">
        <f t="shared" si="38"/>
        <v>0</v>
      </c>
      <c r="AX80" s="197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3">
        <f t="shared" si="37"/>
        <v>0</v>
      </c>
      <c r="AW81" s="1973">
        <f t="shared" si="38"/>
        <v>0</v>
      </c>
      <c r="AX81" s="197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3">
        <f t="shared" si="37"/>
        <v>0</v>
      </c>
      <c r="AW82" s="1973">
        <f t="shared" si="38"/>
        <v>0</v>
      </c>
      <c r="AX82" s="197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3">
        <f t="shared" si="37"/>
        <v>0</v>
      </c>
      <c r="AW83" s="1973">
        <f t="shared" si="38"/>
        <v>0</v>
      </c>
      <c r="AX83" s="197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3">
        <f t="shared" si="37"/>
        <v>0</v>
      </c>
      <c r="AW84" s="1973">
        <f t="shared" si="38"/>
        <v>0</v>
      </c>
      <c r="AX84" s="197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3">
        <f t="shared" si="37"/>
        <v>0</v>
      </c>
      <c r="AW85" s="1973">
        <f t="shared" si="38"/>
        <v>0</v>
      </c>
      <c r="AX85" s="197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3">
        <f t="shared" si="37"/>
        <v>0</v>
      </c>
      <c r="AW86" s="1973">
        <f t="shared" si="38"/>
        <v>0</v>
      </c>
      <c r="AX86" s="197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3">
        <f t="shared" si="37"/>
        <v>0</v>
      </c>
      <c r="AW87" s="1973">
        <f t="shared" si="38"/>
        <v>0</v>
      </c>
      <c r="AX87" s="197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3">
        <f t="shared" si="37"/>
        <v>0</v>
      </c>
      <c r="AW88" s="1973">
        <f t="shared" si="38"/>
        <v>0</v>
      </c>
      <c r="AX88" s="197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3">
        <f t="shared" si="37"/>
        <v>0</v>
      </c>
      <c r="AW89" s="1973">
        <f t="shared" si="38"/>
        <v>0</v>
      </c>
      <c r="AX89" s="197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3">
        <f t="shared" si="37"/>
        <v>0</v>
      </c>
      <c r="AW90" s="1973">
        <f t="shared" si="38"/>
        <v>0</v>
      </c>
      <c r="AX90" s="197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3">
        <f t="shared" si="37"/>
        <v>0</v>
      </c>
      <c r="AW91" s="1973">
        <f t="shared" si="38"/>
        <v>0</v>
      </c>
      <c r="AX91" s="197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3">
        <f t="shared" si="37"/>
        <v>0</v>
      </c>
      <c r="AW92" s="1973">
        <f t="shared" si="38"/>
        <v>0</v>
      </c>
      <c r="AX92" s="197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3">
        <f t="shared" si="37"/>
        <v>0</v>
      </c>
      <c r="AW93" s="1973">
        <f t="shared" si="38"/>
        <v>0</v>
      </c>
      <c r="AX93" s="197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3">
        <f t="shared" si="37"/>
        <v>0</v>
      </c>
      <c r="AW94" s="1973">
        <f t="shared" si="38"/>
        <v>0</v>
      </c>
      <c r="AX94" s="197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3">
        <f t="shared" si="37"/>
        <v>0</v>
      </c>
      <c r="AW95" s="1973">
        <f t="shared" si="38"/>
        <v>0</v>
      </c>
      <c r="AX95" s="197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3">
        <f t="shared" si="37"/>
        <v>0</v>
      </c>
      <c r="AW96" s="1973">
        <f t="shared" si="38"/>
        <v>0</v>
      </c>
      <c r="AX96" s="197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3">
        <f t="shared" si="37"/>
        <v>0</v>
      </c>
      <c r="AW97" s="1973">
        <f t="shared" si="38"/>
        <v>0</v>
      </c>
      <c r="AX97" s="197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3">
        <f t="shared" si="37"/>
        <v>0</v>
      </c>
      <c r="AW98" s="1973">
        <f t="shared" si="38"/>
        <v>0</v>
      </c>
      <c r="AX98" s="197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3">
        <f t="shared" si="37"/>
        <v>0</v>
      </c>
      <c r="AW99" s="1973">
        <f t="shared" si="38"/>
        <v>0</v>
      </c>
      <c r="AX99" s="197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3">
        <f t="shared" si="37"/>
        <v>0</v>
      </c>
      <c r="AW100" s="1973">
        <f t="shared" si="38"/>
        <v>0</v>
      </c>
      <c r="AX100" s="197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3">
        <f t="shared" si="37"/>
        <v>0</v>
      </c>
      <c r="AW101" s="1973">
        <f t="shared" si="38"/>
        <v>0</v>
      </c>
      <c r="AX101" s="197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3">
        <f t="shared" si="37"/>
        <v>0</v>
      </c>
      <c r="AW102" s="1973">
        <f t="shared" si="38"/>
        <v>0</v>
      </c>
      <c r="AX102" s="197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3">
        <f t="shared" si="37"/>
        <v>0</v>
      </c>
      <c r="AW103" s="1973">
        <f t="shared" si="38"/>
        <v>0</v>
      </c>
      <c r="AX103" s="197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3">
        <f t="shared" si="37"/>
        <v>0</v>
      </c>
      <c r="AW104" s="1973">
        <f t="shared" si="38"/>
        <v>0</v>
      </c>
      <c r="AX104" s="197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3">
        <f t="shared" si="37"/>
        <v>0</v>
      </c>
      <c r="AW105" s="1973">
        <f t="shared" si="38"/>
        <v>0</v>
      </c>
      <c r="AX105" s="197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3">
        <f t="shared" si="37"/>
        <v>0</v>
      </c>
      <c r="AW106" s="1973">
        <f t="shared" si="38"/>
        <v>0</v>
      </c>
      <c r="AX106" s="197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3">
        <f t="shared" si="37"/>
        <v>0</v>
      </c>
      <c r="AW107" s="1973">
        <f t="shared" si="38"/>
        <v>0</v>
      </c>
      <c r="AX107" s="197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3">
        <f t="shared" si="37"/>
        <v>0</v>
      </c>
      <c r="AW108" s="1973">
        <f t="shared" si="38"/>
        <v>0</v>
      </c>
      <c r="AX108" s="197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3">
        <f t="shared" si="37"/>
        <v>0</v>
      </c>
      <c r="AW109" s="1973">
        <f t="shared" si="38"/>
        <v>0</v>
      </c>
      <c r="AX109" s="197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3">
        <f t="shared" si="37"/>
        <v>0</v>
      </c>
      <c r="AW110" s="1973">
        <f t="shared" si="38"/>
        <v>0</v>
      </c>
      <c r="AX110" s="197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3">
        <f t="shared" si="37"/>
        <v>0</v>
      </c>
      <c r="AW111" s="1973">
        <f t="shared" si="38"/>
        <v>0</v>
      </c>
      <c r="AX111" s="197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3">
        <f t="shared" si="37"/>
        <v>0</v>
      </c>
      <c r="AW112" s="1973">
        <f t="shared" si="38"/>
        <v>0</v>
      </c>
      <c r="AX112" s="197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9"/>
      <c r="AO113" s="92"/>
      <c r="AP113" s="92"/>
      <c r="AQ113" s="92"/>
      <c r="AR113" s="92"/>
      <c r="AS113" s="92"/>
      <c r="AT113" s="93"/>
      <c r="AU113" s="94"/>
      <c r="AV113" s="1973">
        <f t="shared" ref="AV113:AV144" si="88">A113</f>
        <v>0</v>
      </c>
      <c r="AW113" s="1973">
        <f t="shared" ref="AW113:AW144" si="89">B113</f>
        <v>0</v>
      </c>
      <c r="AX113" s="197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2"/>
      <c r="AG114" s="92"/>
      <c r="AH114" s="92"/>
      <c r="AI114" s="92"/>
      <c r="AJ114" s="92"/>
      <c r="AK114" s="92"/>
      <c r="AL114" s="1359"/>
      <c r="AM114" s="92"/>
      <c r="AN114" s="1359"/>
      <c r="AO114" s="92"/>
      <c r="AP114" s="92"/>
      <c r="AQ114" s="92"/>
      <c r="AR114" s="92"/>
      <c r="AS114" s="92"/>
      <c r="AT114" s="93"/>
      <c r="AU114" s="94"/>
      <c r="AV114" s="1973">
        <f t="shared" si="88"/>
        <v>0</v>
      </c>
      <c r="AW114" s="1973">
        <f t="shared" si="89"/>
        <v>0</v>
      </c>
      <c r="AX114" s="197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9"/>
      <c r="AM115" s="92"/>
      <c r="AN115" s="1359"/>
      <c r="AO115" s="92"/>
      <c r="AP115" s="92"/>
      <c r="AQ115" s="92"/>
      <c r="AR115" s="92"/>
      <c r="AS115" s="92"/>
      <c r="AT115" s="93"/>
      <c r="AU115" s="94"/>
      <c r="AV115" s="1973">
        <f t="shared" si="88"/>
        <v>0</v>
      </c>
      <c r="AW115" s="1973">
        <f t="shared" si="89"/>
        <v>0</v>
      </c>
      <c r="AX115" s="197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9"/>
      <c r="AO116" s="92"/>
      <c r="AP116" s="92"/>
      <c r="AQ116" s="92"/>
      <c r="AR116" s="92"/>
      <c r="AS116" s="92"/>
      <c r="AT116" s="93"/>
      <c r="AU116" s="94"/>
      <c r="AV116" s="1973">
        <f t="shared" si="88"/>
        <v>0</v>
      </c>
      <c r="AW116" s="1973">
        <f t="shared" si="89"/>
        <v>0</v>
      </c>
      <c r="AX116" s="197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73">
        <f t="shared" si="88"/>
        <v>0</v>
      </c>
      <c r="AW117" s="1973">
        <f t="shared" si="89"/>
        <v>0</v>
      </c>
      <c r="AX117" s="197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73">
        <f t="shared" si="88"/>
        <v>0</v>
      </c>
      <c r="AW118" s="1973">
        <f t="shared" si="89"/>
        <v>0</v>
      </c>
      <c r="AX118" s="197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73">
        <f t="shared" si="88"/>
        <v>0</v>
      </c>
      <c r="AW119" s="1973">
        <f t="shared" si="89"/>
        <v>0</v>
      </c>
      <c r="AX119" s="197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73">
        <f t="shared" si="88"/>
        <v>0</v>
      </c>
      <c r="AW120" s="1973">
        <f t="shared" si="89"/>
        <v>0</v>
      </c>
      <c r="AX120" s="197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73">
        <f t="shared" si="88"/>
        <v>0</v>
      </c>
      <c r="AW121" s="1973">
        <f t="shared" si="89"/>
        <v>0</v>
      </c>
      <c r="AX121" s="197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73">
        <f t="shared" si="88"/>
        <v>0</v>
      </c>
      <c r="AW122" s="1973">
        <f t="shared" si="89"/>
        <v>0</v>
      </c>
      <c r="AX122" s="197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73">
        <f t="shared" si="88"/>
        <v>0</v>
      </c>
      <c r="AW123" s="1973">
        <f t="shared" si="89"/>
        <v>0</v>
      </c>
      <c r="AX123" s="197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73">
        <f t="shared" si="88"/>
        <v>0</v>
      </c>
      <c r="AW124" s="1973">
        <f t="shared" si="89"/>
        <v>0</v>
      </c>
      <c r="AX124" s="197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73">
        <f t="shared" si="88"/>
        <v>0</v>
      </c>
      <c r="AW125" s="1973">
        <f t="shared" si="89"/>
        <v>0</v>
      </c>
      <c r="AX125" s="197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73">
        <f t="shared" si="88"/>
        <v>0</v>
      </c>
      <c r="AW126" s="1973">
        <f t="shared" si="89"/>
        <v>0</v>
      </c>
      <c r="AX126" s="197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73">
        <f t="shared" si="88"/>
        <v>0</v>
      </c>
      <c r="AW127" s="1973">
        <f t="shared" si="89"/>
        <v>0</v>
      </c>
      <c r="AX127" s="197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73">
        <f t="shared" si="88"/>
        <v>0</v>
      </c>
      <c r="AW128" s="1973">
        <f t="shared" si="89"/>
        <v>0</v>
      </c>
      <c r="AX128" s="197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73">
        <f t="shared" si="88"/>
        <v>0</v>
      </c>
      <c r="AW129" s="1973">
        <f t="shared" si="89"/>
        <v>0</v>
      </c>
      <c r="AX129" s="197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73">
        <f t="shared" si="88"/>
        <v>0</v>
      </c>
      <c r="AW130" s="1973">
        <f t="shared" si="89"/>
        <v>0</v>
      </c>
      <c r="AX130" s="197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73">
        <f t="shared" si="88"/>
        <v>0</v>
      </c>
      <c r="AW131" s="1973">
        <f t="shared" si="89"/>
        <v>0</v>
      </c>
      <c r="AX131" s="197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73">
        <f t="shared" si="88"/>
        <v>0</v>
      </c>
      <c r="AW132" s="1973">
        <f t="shared" si="89"/>
        <v>0</v>
      </c>
      <c r="AX132" s="197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73">
        <f t="shared" si="88"/>
        <v>0</v>
      </c>
      <c r="AW133" s="1973">
        <f t="shared" si="89"/>
        <v>0</v>
      </c>
      <c r="AX133" s="197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73">
        <f t="shared" si="88"/>
        <v>0</v>
      </c>
      <c r="AW134" s="1973">
        <f t="shared" si="89"/>
        <v>0</v>
      </c>
      <c r="AX134" s="197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73">
        <f t="shared" si="88"/>
        <v>0</v>
      </c>
      <c r="AW135" s="1973">
        <f t="shared" si="89"/>
        <v>0</v>
      </c>
      <c r="AX135" s="197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73">
        <f t="shared" si="88"/>
        <v>0</v>
      </c>
      <c r="AW136" s="1973">
        <f t="shared" si="89"/>
        <v>0</v>
      </c>
      <c r="AX136" s="197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73">
        <f t="shared" si="88"/>
        <v>0</v>
      </c>
      <c r="AW137" s="1973">
        <f t="shared" si="89"/>
        <v>0</v>
      </c>
      <c r="AX137" s="197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73">
        <f t="shared" si="88"/>
        <v>0</v>
      </c>
      <c r="AW138" s="1973">
        <f t="shared" si="89"/>
        <v>0</v>
      </c>
      <c r="AX138" s="197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73">
        <f t="shared" si="88"/>
        <v>0</v>
      </c>
      <c r="AW139" s="1973">
        <f t="shared" si="89"/>
        <v>0</v>
      </c>
      <c r="AX139" s="197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73">
        <f t="shared" si="88"/>
        <v>0</v>
      </c>
      <c r="AW140" s="1973">
        <f t="shared" si="89"/>
        <v>0</v>
      </c>
      <c r="AX140" s="197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73">
        <f t="shared" si="88"/>
        <v>0</v>
      </c>
      <c r="AW141" s="1973">
        <f t="shared" si="89"/>
        <v>0</v>
      </c>
      <c r="AX141" s="197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73">
        <f t="shared" si="88"/>
        <v>0</v>
      </c>
      <c r="AW142" s="1973">
        <f t="shared" si="89"/>
        <v>0</v>
      </c>
      <c r="AX142" s="197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73">
        <f t="shared" si="88"/>
        <v>0</v>
      </c>
      <c r="AW143" s="1973">
        <f t="shared" si="89"/>
        <v>0</v>
      </c>
      <c r="AX143" s="197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73">
        <f t="shared" si="88"/>
        <v>0</v>
      </c>
      <c r="AW144" s="1973">
        <f t="shared" si="89"/>
        <v>0</v>
      </c>
      <c r="AX144" s="197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73">
        <f t="shared" ref="AV145:AV176" si="117">A145</f>
        <v>0</v>
      </c>
      <c r="AW145" s="1973">
        <f t="shared" ref="AW145:AW176" si="118">B145</f>
        <v>0</v>
      </c>
      <c r="AX145" s="197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73">
        <f t="shared" si="117"/>
        <v>0</v>
      </c>
      <c r="AW146" s="1973">
        <f t="shared" si="118"/>
        <v>0</v>
      </c>
      <c r="AX146" s="197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73">
        <f t="shared" si="117"/>
        <v>0</v>
      </c>
      <c r="AW147" s="1973">
        <f t="shared" si="118"/>
        <v>0</v>
      </c>
      <c r="AX147" s="197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3">
        <f t="shared" si="117"/>
        <v>0</v>
      </c>
      <c r="AW148" s="1973">
        <f t="shared" si="118"/>
        <v>0</v>
      </c>
      <c r="AX148" s="197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3">
        <f t="shared" si="117"/>
        <v>0</v>
      </c>
      <c r="AW149" s="1973">
        <f t="shared" si="118"/>
        <v>0</v>
      </c>
      <c r="AX149" s="197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3">
        <f t="shared" si="117"/>
        <v>0</v>
      </c>
      <c r="AW150" s="1973">
        <f t="shared" si="118"/>
        <v>0</v>
      </c>
      <c r="AX150" s="197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3">
        <f t="shared" si="117"/>
        <v>0</v>
      </c>
      <c r="AW151" s="1973">
        <f t="shared" si="118"/>
        <v>0</v>
      </c>
      <c r="AX151" s="197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3">
        <f t="shared" si="117"/>
        <v>0</v>
      </c>
      <c r="AW152" s="1973">
        <f t="shared" si="118"/>
        <v>0</v>
      </c>
      <c r="AX152" s="197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3">
        <f t="shared" si="117"/>
        <v>0</v>
      </c>
      <c r="AW153" s="1973">
        <f t="shared" si="118"/>
        <v>0</v>
      </c>
      <c r="AX153" s="197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3">
        <f t="shared" si="117"/>
        <v>0</v>
      </c>
      <c r="AW154" s="1973">
        <f t="shared" si="118"/>
        <v>0</v>
      </c>
      <c r="AX154" s="197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3">
        <f t="shared" si="117"/>
        <v>0</v>
      </c>
      <c r="AW155" s="1973">
        <f t="shared" si="118"/>
        <v>0</v>
      </c>
      <c r="AX155" s="197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3">
        <f t="shared" si="117"/>
        <v>0</v>
      </c>
      <c r="AW156" s="1973">
        <f t="shared" si="118"/>
        <v>0</v>
      </c>
      <c r="AX156" s="197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3">
        <f t="shared" si="117"/>
        <v>0</v>
      </c>
      <c r="AW157" s="1973">
        <f t="shared" si="118"/>
        <v>0</v>
      </c>
      <c r="AX157" s="197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3">
        <f t="shared" si="117"/>
        <v>0</v>
      </c>
      <c r="AW158" s="1973">
        <f t="shared" si="118"/>
        <v>0</v>
      </c>
      <c r="AX158" s="197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3">
        <f t="shared" si="117"/>
        <v>0</v>
      </c>
      <c r="AW159" s="1973">
        <f t="shared" si="118"/>
        <v>0</v>
      </c>
      <c r="AX159" s="197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3">
        <f t="shared" si="117"/>
        <v>0</v>
      </c>
      <c r="AW160" s="1973">
        <f t="shared" si="118"/>
        <v>0</v>
      </c>
      <c r="AX160" s="197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3">
        <f t="shared" si="117"/>
        <v>0</v>
      </c>
      <c r="AW161" s="1973">
        <f t="shared" si="118"/>
        <v>0</v>
      </c>
      <c r="AX161" s="197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3">
        <f t="shared" si="117"/>
        <v>0</v>
      </c>
      <c r="AW162" s="1973">
        <f t="shared" si="118"/>
        <v>0</v>
      </c>
      <c r="AX162" s="197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3">
        <f t="shared" si="117"/>
        <v>0</v>
      </c>
      <c r="AW163" s="1973">
        <f t="shared" si="118"/>
        <v>0</v>
      </c>
      <c r="AX163" s="197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3">
        <f t="shared" si="117"/>
        <v>0</v>
      </c>
      <c r="AW164" s="1973">
        <f t="shared" si="118"/>
        <v>0</v>
      </c>
      <c r="AX164" s="197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3">
        <f t="shared" si="117"/>
        <v>0</v>
      </c>
      <c r="AW165" s="1973">
        <f t="shared" si="118"/>
        <v>0</v>
      </c>
      <c r="AX165" s="197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3">
        <f t="shared" si="117"/>
        <v>0</v>
      </c>
      <c r="AW166" s="1973">
        <f t="shared" si="118"/>
        <v>0</v>
      </c>
      <c r="AX166" s="197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3">
        <f t="shared" si="117"/>
        <v>0</v>
      </c>
      <c r="AW167" s="1973">
        <f t="shared" si="118"/>
        <v>0</v>
      </c>
      <c r="AX167" s="197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3">
        <f t="shared" si="117"/>
        <v>0</v>
      </c>
      <c r="AW168" s="1973">
        <f t="shared" si="118"/>
        <v>0</v>
      </c>
      <c r="AX168" s="197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3">
        <f t="shared" si="117"/>
        <v>0</v>
      </c>
      <c r="AW169" s="1973">
        <f t="shared" si="118"/>
        <v>0</v>
      </c>
      <c r="AX169" s="197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3">
        <f t="shared" si="117"/>
        <v>0</v>
      </c>
      <c r="AW170" s="1973">
        <f t="shared" si="118"/>
        <v>0</v>
      </c>
      <c r="AX170" s="197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3">
        <f t="shared" si="117"/>
        <v>0</v>
      </c>
      <c r="AW171" s="1973">
        <f t="shared" si="118"/>
        <v>0</v>
      </c>
      <c r="AX171" s="197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3">
        <f t="shared" si="117"/>
        <v>0</v>
      </c>
      <c r="AW172" s="1973">
        <f t="shared" si="118"/>
        <v>0</v>
      </c>
      <c r="AX172" s="197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3">
        <f t="shared" si="117"/>
        <v>0</v>
      </c>
      <c r="AW173" s="1973">
        <f t="shared" si="118"/>
        <v>0</v>
      </c>
      <c r="AX173" s="197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3">
        <f t="shared" si="117"/>
        <v>0</v>
      </c>
      <c r="AW174" s="1973">
        <f t="shared" si="118"/>
        <v>0</v>
      </c>
      <c r="AX174" s="197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3">
        <f t="shared" si="117"/>
        <v>0</v>
      </c>
      <c r="AW175" s="1973">
        <f t="shared" si="118"/>
        <v>0</v>
      </c>
      <c r="AX175" s="197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3">
        <f t="shared" si="117"/>
        <v>0</v>
      </c>
      <c r="AW176" s="1973">
        <f t="shared" si="118"/>
        <v>0</v>
      </c>
      <c r="AX176" s="197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3">
        <f t="shared" ref="AV177:AV204" si="146">A177</f>
        <v>0</v>
      </c>
      <c r="AW177" s="1973">
        <f t="shared" ref="AW177:AW204" si="147">B177</f>
        <v>0</v>
      </c>
      <c r="AX177" s="197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3">
        <f t="shared" si="146"/>
        <v>0</v>
      </c>
      <c r="AW178" s="1973">
        <f t="shared" si="147"/>
        <v>0</v>
      </c>
      <c r="AX178" s="197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3">
        <f t="shared" si="146"/>
        <v>0</v>
      </c>
      <c r="AW179" s="1973">
        <f t="shared" si="147"/>
        <v>0</v>
      </c>
      <c r="AX179" s="197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3">
        <f t="shared" si="146"/>
        <v>0</v>
      </c>
      <c r="AW180" s="1973">
        <f t="shared" si="147"/>
        <v>0</v>
      </c>
      <c r="AX180" s="197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3">
        <f t="shared" si="146"/>
        <v>0</v>
      </c>
      <c r="AW181" s="1973">
        <f t="shared" si="147"/>
        <v>0</v>
      </c>
      <c r="AX181" s="197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3">
        <f t="shared" si="146"/>
        <v>0</v>
      </c>
      <c r="AW182" s="1973">
        <f t="shared" si="147"/>
        <v>0</v>
      </c>
      <c r="AX182" s="197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3">
        <f t="shared" si="146"/>
        <v>0</v>
      </c>
      <c r="AW183" s="1973">
        <f t="shared" si="147"/>
        <v>0</v>
      </c>
      <c r="AX183" s="197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3">
        <f t="shared" si="146"/>
        <v>0</v>
      </c>
      <c r="AW184" s="1973">
        <f t="shared" si="147"/>
        <v>0</v>
      </c>
      <c r="AX184" s="197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3">
        <f t="shared" si="146"/>
        <v>0</v>
      </c>
      <c r="AW185" s="1973">
        <f t="shared" si="147"/>
        <v>0</v>
      </c>
      <c r="AX185" s="197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3">
        <f t="shared" si="146"/>
        <v>0</v>
      </c>
      <c r="AW186" s="1973">
        <f t="shared" si="147"/>
        <v>0</v>
      </c>
      <c r="AX186" s="197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3">
        <f t="shared" si="146"/>
        <v>0</v>
      </c>
      <c r="AW187" s="1973">
        <f t="shared" si="147"/>
        <v>0</v>
      </c>
      <c r="AX187" s="197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3">
        <f t="shared" si="146"/>
        <v>0</v>
      </c>
      <c r="AW188" s="1973">
        <f t="shared" si="147"/>
        <v>0</v>
      </c>
      <c r="AX188" s="197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3">
        <f t="shared" si="146"/>
        <v>0</v>
      </c>
      <c r="AW189" s="1973">
        <f t="shared" si="147"/>
        <v>0</v>
      </c>
      <c r="AX189" s="197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3">
        <f t="shared" si="146"/>
        <v>0</v>
      </c>
      <c r="AW190" s="1973">
        <f t="shared" si="147"/>
        <v>0</v>
      </c>
      <c r="AX190" s="197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3">
        <f t="shared" si="146"/>
        <v>0</v>
      </c>
      <c r="AW191" s="1973">
        <f t="shared" si="147"/>
        <v>0</v>
      </c>
      <c r="AX191" s="197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3">
        <f t="shared" si="146"/>
        <v>0</v>
      </c>
      <c r="AW192" s="1973">
        <f t="shared" si="147"/>
        <v>0</v>
      </c>
      <c r="AX192" s="197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3">
        <f t="shared" si="146"/>
        <v>0</v>
      </c>
      <c r="AW193" s="1973">
        <f t="shared" si="147"/>
        <v>0</v>
      </c>
      <c r="AX193" s="197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3">
        <f t="shared" si="146"/>
        <v>0</v>
      </c>
      <c r="AW194" s="1973">
        <f t="shared" si="147"/>
        <v>0</v>
      </c>
      <c r="AX194" s="197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3">
        <f t="shared" si="146"/>
        <v>0</v>
      </c>
      <c r="AW195" s="1973">
        <f t="shared" si="147"/>
        <v>0</v>
      </c>
      <c r="AX195" s="197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3">
        <f t="shared" si="146"/>
        <v>0</v>
      </c>
      <c r="AW196" s="1973">
        <f t="shared" si="147"/>
        <v>0</v>
      </c>
      <c r="AX196" s="197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3">
        <f t="shared" si="146"/>
        <v>0</v>
      </c>
      <c r="AW197" s="1973">
        <f t="shared" si="147"/>
        <v>0</v>
      </c>
      <c r="AX197" s="197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3">
        <f t="shared" si="146"/>
        <v>0</v>
      </c>
      <c r="AW198" s="1973">
        <f t="shared" si="147"/>
        <v>0</v>
      </c>
      <c r="AX198" s="197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3">
        <f t="shared" si="146"/>
        <v>0</v>
      </c>
      <c r="AW199" s="1973">
        <f t="shared" si="147"/>
        <v>0</v>
      </c>
      <c r="AX199" s="197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3">
        <f t="shared" si="146"/>
        <v>0</v>
      </c>
      <c r="AW200" s="1973">
        <f t="shared" si="147"/>
        <v>0</v>
      </c>
      <c r="AX200" s="197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3">
        <f t="shared" si="146"/>
        <v>0</v>
      </c>
      <c r="AW201" s="1973">
        <f t="shared" si="147"/>
        <v>0</v>
      </c>
      <c r="AX201" s="197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3">
        <f t="shared" si="146"/>
        <v>0</v>
      </c>
      <c r="AW202" s="1973">
        <f t="shared" si="147"/>
        <v>0</v>
      </c>
      <c r="AX202" s="197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3">
        <f t="shared" si="146"/>
        <v>0</v>
      </c>
      <c r="AW203" s="1973">
        <f t="shared" si="147"/>
        <v>0</v>
      </c>
      <c r="AX203" s="197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3">
        <f t="shared" si="146"/>
        <v>0</v>
      </c>
      <c r="AW204" s="1973">
        <f t="shared" si="147"/>
        <v>0</v>
      </c>
      <c r="AX204" s="197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9"/>
      <c r="AO205" s="92"/>
      <c r="AP205" s="92"/>
      <c r="AQ205" s="92"/>
      <c r="AR205" s="92"/>
      <c r="AS205" s="92"/>
      <c r="AT205" s="93"/>
      <c r="AU205" s="94"/>
      <c r="AV205" s="1973">
        <f t="shared" ref="AV205:AV296" si="153">A205</f>
        <v>0</v>
      </c>
      <c r="AW205" s="1973">
        <f t="shared" ref="AW205:AW296" si="154">B205</f>
        <v>0</v>
      </c>
      <c r="AX205" s="197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2"/>
      <c r="AG206" s="92"/>
      <c r="AH206" s="92"/>
      <c r="AI206" s="92"/>
      <c r="AJ206" s="92"/>
      <c r="AK206" s="92"/>
      <c r="AL206" s="1359"/>
      <c r="AM206" s="92"/>
      <c r="AN206" s="1359"/>
      <c r="AO206" s="92"/>
      <c r="AP206" s="92"/>
      <c r="AQ206" s="92"/>
      <c r="AR206" s="92"/>
      <c r="AS206" s="92"/>
      <c r="AT206" s="93"/>
      <c r="AU206" s="94"/>
      <c r="AV206" s="1973">
        <f t="shared" si="153"/>
        <v>0</v>
      </c>
      <c r="AW206" s="1973">
        <f t="shared" si="154"/>
        <v>0</v>
      </c>
      <c r="AX206" s="197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9"/>
      <c r="AM207" s="92"/>
      <c r="AN207" s="1359"/>
      <c r="AO207" s="92"/>
      <c r="AP207" s="92"/>
      <c r="AQ207" s="92"/>
      <c r="AR207" s="92"/>
      <c r="AS207" s="92"/>
      <c r="AT207" s="93"/>
      <c r="AU207" s="94"/>
      <c r="AV207" s="1973">
        <f t="shared" si="153"/>
        <v>0</v>
      </c>
      <c r="AW207" s="1973">
        <f t="shared" si="154"/>
        <v>0</v>
      </c>
      <c r="AX207" s="197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9"/>
      <c r="AO208" s="92"/>
      <c r="AP208" s="92"/>
      <c r="AQ208" s="92"/>
      <c r="AR208" s="92"/>
      <c r="AS208" s="92"/>
      <c r="AT208" s="93"/>
      <c r="AU208" s="94"/>
      <c r="AV208" s="1973">
        <f t="shared" si="153"/>
        <v>0</v>
      </c>
      <c r="AW208" s="1973">
        <f t="shared" si="154"/>
        <v>0</v>
      </c>
      <c r="AX208" s="197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73">
        <f t="shared" si="153"/>
        <v>0</v>
      </c>
      <c r="AW209" s="1973">
        <f t="shared" si="154"/>
        <v>0</v>
      </c>
      <c r="AX209" s="197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73">
        <f t="shared" si="153"/>
        <v>0</v>
      </c>
      <c r="AW210" s="1973">
        <f t="shared" si="154"/>
        <v>0</v>
      </c>
      <c r="AX210" s="197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73">
        <f t="shared" si="153"/>
        <v>0</v>
      </c>
      <c r="AW211" s="1973">
        <f t="shared" si="154"/>
        <v>0</v>
      </c>
      <c r="AX211" s="197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73">
        <f t="shared" si="153"/>
        <v>0</v>
      </c>
      <c r="AW212" s="1973">
        <f t="shared" si="154"/>
        <v>0</v>
      </c>
      <c r="AX212" s="197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73">
        <f t="shared" si="153"/>
        <v>0</v>
      </c>
      <c r="AW213" s="1973">
        <f t="shared" si="154"/>
        <v>0</v>
      </c>
      <c r="AX213" s="197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73">
        <f t="shared" si="153"/>
        <v>0</v>
      </c>
      <c r="AW214" s="1973">
        <f t="shared" si="154"/>
        <v>0</v>
      </c>
      <c r="AX214" s="197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73">
        <f t="shared" si="153"/>
        <v>0</v>
      </c>
      <c r="AW215" s="1973">
        <f t="shared" si="154"/>
        <v>0</v>
      </c>
      <c r="AX215" s="197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73">
        <f t="shared" si="153"/>
        <v>0</v>
      </c>
      <c r="AW216" s="1973">
        <f t="shared" si="154"/>
        <v>0</v>
      </c>
      <c r="AX216" s="197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73">
        <f t="shared" si="153"/>
        <v>0</v>
      </c>
      <c r="AW217" s="1973">
        <f t="shared" si="154"/>
        <v>0</v>
      </c>
      <c r="AX217" s="197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73">
        <f t="shared" si="153"/>
        <v>0</v>
      </c>
      <c r="AW218" s="1973">
        <f t="shared" si="154"/>
        <v>0</v>
      </c>
      <c r="AX218" s="197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73">
        <f t="shared" si="153"/>
        <v>0</v>
      </c>
      <c r="AW219" s="1973">
        <f t="shared" si="154"/>
        <v>0</v>
      </c>
      <c r="AX219" s="197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73">
        <f t="shared" si="153"/>
        <v>0</v>
      </c>
      <c r="AW220" s="1973">
        <f t="shared" si="154"/>
        <v>0</v>
      </c>
      <c r="AX220" s="197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73">
        <f t="shared" si="153"/>
        <v>0</v>
      </c>
      <c r="AW221" s="1973">
        <f t="shared" si="154"/>
        <v>0</v>
      </c>
      <c r="AX221" s="197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73">
        <f t="shared" si="153"/>
        <v>0</v>
      </c>
      <c r="AW222" s="1973">
        <f t="shared" si="154"/>
        <v>0</v>
      </c>
      <c r="AX222" s="197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73">
        <f t="shared" si="153"/>
        <v>0</v>
      </c>
      <c r="AW223" s="1973">
        <f t="shared" si="154"/>
        <v>0</v>
      </c>
      <c r="AX223" s="197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73">
        <f t="shared" si="153"/>
        <v>0</v>
      </c>
      <c r="AW224" s="1973">
        <f t="shared" si="154"/>
        <v>0</v>
      </c>
      <c r="AX224" s="197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73">
        <f t="shared" si="153"/>
        <v>0</v>
      </c>
      <c r="AW225" s="1973">
        <f t="shared" si="154"/>
        <v>0</v>
      </c>
      <c r="AX225" s="197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73">
        <f t="shared" si="153"/>
        <v>0</v>
      </c>
      <c r="AW226" s="1973">
        <f t="shared" si="154"/>
        <v>0</v>
      </c>
      <c r="AX226" s="197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73">
        <f t="shared" si="153"/>
        <v>0</v>
      </c>
      <c r="AW227" s="1973">
        <f t="shared" si="154"/>
        <v>0</v>
      </c>
      <c r="AX227" s="197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73">
        <f t="shared" si="153"/>
        <v>0</v>
      </c>
      <c r="AW228" s="1973">
        <f t="shared" si="154"/>
        <v>0</v>
      </c>
      <c r="AX228" s="197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73">
        <f t="shared" si="153"/>
        <v>0</v>
      </c>
      <c r="AW229" s="1973">
        <f t="shared" si="154"/>
        <v>0</v>
      </c>
      <c r="AX229" s="197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73">
        <f t="shared" si="153"/>
        <v>0</v>
      </c>
      <c r="AW230" s="1973">
        <f t="shared" si="154"/>
        <v>0</v>
      </c>
      <c r="AX230" s="197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73">
        <f t="shared" si="153"/>
        <v>0</v>
      </c>
      <c r="AW231" s="1973">
        <f t="shared" si="154"/>
        <v>0</v>
      </c>
      <c r="AX231" s="197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73">
        <f t="shared" si="153"/>
        <v>0</v>
      </c>
      <c r="AW232" s="1973">
        <f t="shared" si="154"/>
        <v>0</v>
      </c>
      <c r="AX232" s="197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73">
        <f t="shared" si="153"/>
        <v>0</v>
      </c>
      <c r="AW233" s="1973">
        <f t="shared" si="154"/>
        <v>0</v>
      </c>
      <c r="AX233" s="197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73">
        <f t="shared" si="153"/>
        <v>0</v>
      </c>
      <c r="AW234" s="1973">
        <f t="shared" si="154"/>
        <v>0</v>
      </c>
      <c r="AX234" s="197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73">
        <f t="shared" si="153"/>
        <v>0</v>
      </c>
      <c r="AW235" s="1973">
        <f t="shared" si="154"/>
        <v>0</v>
      </c>
      <c r="AX235" s="197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73">
        <f t="shared" si="153"/>
        <v>0</v>
      </c>
      <c r="AW236" s="1973">
        <f t="shared" si="154"/>
        <v>0</v>
      </c>
      <c r="AX236" s="197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73">
        <f t="shared" si="153"/>
        <v>0</v>
      </c>
      <c r="AW237" s="1973">
        <f t="shared" si="154"/>
        <v>0</v>
      </c>
      <c r="AX237" s="197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73">
        <f t="shared" si="153"/>
        <v>0</v>
      </c>
      <c r="AW238" s="1973">
        <f t="shared" si="154"/>
        <v>0</v>
      </c>
      <c r="AX238" s="197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73">
        <f t="shared" si="153"/>
        <v>0</v>
      </c>
      <c r="AW239" s="1973">
        <f t="shared" si="154"/>
        <v>0</v>
      </c>
      <c r="AX239" s="197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3">
        <f t="shared" si="153"/>
        <v>0</v>
      </c>
      <c r="AW240" s="1973">
        <f t="shared" si="154"/>
        <v>0</v>
      </c>
      <c r="AX240" s="197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3">
        <f t="shared" si="153"/>
        <v>0</v>
      </c>
      <c r="AW241" s="1973">
        <f t="shared" si="154"/>
        <v>0</v>
      </c>
      <c r="AX241" s="197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3">
        <f t="shared" si="153"/>
        <v>0</v>
      </c>
      <c r="AW242" s="1973">
        <f t="shared" si="154"/>
        <v>0</v>
      </c>
      <c r="AX242" s="197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3">
        <f t="shared" si="153"/>
        <v>0</v>
      </c>
      <c r="AW243" s="1973">
        <f t="shared" si="154"/>
        <v>0</v>
      </c>
      <c r="AX243" s="197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3">
        <f t="shared" si="153"/>
        <v>0</v>
      </c>
      <c r="AW244" s="1973">
        <f t="shared" si="154"/>
        <v>0</v>
      </c>
      <c r="AX244" s="197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3">
        <f t="shared" si="153"/>
        <v>0</v>
      </c>
      <c r="AW245" s="1973">
        <f t="shared" si="154"/>
        <v>0</v>
      </c>
      <c r="AX245" s="197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3">
        <f t="shared" si="153"/>
        <v>0</v>
      </c>
      <c r="AW246" s="1973">
        <f t="shared" si="154"/>
        <v>0</v>
      </c>
      <c r="AX246" s="197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3">
        <f t="shared" si="153"/>
        <v>0</v>
      </c>
      <c r="AW247" s="1973">
        <f t="shared" si="154"/>
        <v>0</v>
      </c>
      <c r="AX247" s="197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3">
        <f t="shared" si="153"/>
        <v>0</v>
      </c>
      <c r="AW248" s="1973">
        <f t="shared" si="154"/>
        <v>0</v>
      </c>
      <c r="AX248" s="197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3">
        <f t="shared" si="153"/>
        <v>0</v>
      </c>
      <c r="AW249" s="1973">
        <f t="shared" si="154"/>
        <v>0</v>
      </c>
      <c r="AX249" s="197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3">
        <f t="shared" si="153"/>
        <v>0</v>
      </c>
      <c r="AW250" s="1973">
        <f t="shared" si="154"/>
        <v>0</v>
      </c>
      <c r="AX250" s="197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3">
        <f t="shared" si="153"/>
        <v>0</v>
      </c>
      <c r="AW251" s="1973">
        <f t="shared" si="154"/>
        <v>0</v>
      </c>
      <c r="AX251" s="197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3">
        <f t="shared" si="153"/>
        <v>0</v>
      </c>
      <c r="AW252" s="1973">
        <f t="shared" si="154"/>
        <v>0</v>
      </c>
      <c r="AX252" s="197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3">
        <f t="shared" si="153"/>
        <v>0</v>
      </c>
      <c r="AW253" s="1973">
        <f t="shared" si="154"/>
        <v>0</v>
      </c>
      <c r="AX253" s="197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3">
        <f t="shared" si="153"/>
        <v>0</v>
      </c>
      <c r="AW254" s="1973">
        <f t="shared" si="154"/>
        <v>0</v>
      </c>
      <c r="AX254" s="197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3">
        <f t="shared" si="153"/>
        <v>0</v>
      </c>
      <c r="AW255" s="1973">
        <f t="shared" si="154"/>
        <v>0</v>
      </c>
      <c r="AX255" s="197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3">
        <f t="shared" si="153"/>
        <v>0</v>
      </c>
      <c r="AW256" s="1973">
        <f t="shared" si="154"/>
        <v>0</v>
      </c>
      <c r="AX256" s="197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3">
        <f t="shared" si="153"/>
        <v>0</v>
      </c>
      <c r="AW257" s="1973">
        <f t="shared" si="154"/>
        <v>0</v>
      </c>
      <c r="AX257" s="197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3">
        <f t="shared" si="153"/>
        <v>0</v>
      </c>
      <c r="AW258" s="1973">
        <f t="shared" si="154"/>
        <v>0</v>
      </c>
      <c r="AX258" s="197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3">
        <f t="shared" si="153"/>
        <v>0</v>
      </c>
      <c r="AW259" s="1973">
        <f t="shared" si="154"/>
        <v>0</v>
      </c>
      <c r="AX259" s="197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3">
        <f t="shared" si="153"/>
        <v>0</v>
      </c>
      <c r="AW260" s="1973">
        <f t="shared" si="154"/>
        <v>0</v>
      </c>
      <c r="AX260" s="197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3">
        <f t="shared" si="153"/>
        <v>0</v>
      </c>
      <c r="AW261" s="1973">
        <f t="shared" si="154"/>
        <v>0</v>
      </c>
      <c r="AX261" s="197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3">
        <f t="shared" si="153"/>
        <v>0</v>
      </c>
      <c r="AW262" s="1973">
        <f t="shared" si="154"/>
        <v>0</v>
      </c>
      <c r="AX262" s="197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3">
        <f t="shared" si="153"/>
        <v>0</v>
      </c>
      <c r="AW263" s="1973">
        <f t="shared" si="154"/>
        <v>0</v>
      </c>
      <c r="AX263" s="197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3">
        <f t="shared" si="153"/>
        <v>0</v>
      </c>
      <c r="AW264" s="1973">
        <f t="shared" si="154"/>
        <v>0</v>
      </c>
      <c r="AX264" s="197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3">
        <f t="shared" si="153"/>
        <v>0</v>
      </c>
      <c r="AW265" s="1973">
        <f t="shared" si="154"/>
        <v>0</v>
      </c>
      <c r="AX265" s="197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3">
        <f t="shared" si="153"/>
        <v>0</v>
      </c>
      <c r="AW266" s="1973">
        <f t="shared" si="154"/>
        <v>0</v>
      </c>
      <c r="AX266" s="197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3">
        <f t="shared" si="153"/>
        <v>0</v>
      </c>
      <c r="AW267" s="1973">
        <f t="shared" si="154"/>
        <v>0</v>
      </c>
      <c r="AX267" s="197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3">
        <f t="shared" si="153"/>
        <v>0</v>
      </c>
      <c r="AW268" s="1973">
        <f t="shared" si="154"/>
        <v>0</v>
      </c>
      <c r="AX268" s="197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3">
        <f t="shared" si="153"/>
        <v>0</v>
      </c>
      <c r="AW269" s="1973">
        <f t="shared" si="154"/>
        <v>0</v>
      </c>
      <c r="AX269" s="197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3">
        <f t="shared" si="153"/>
        <v>0</v>
      </c>
      <c r="AW270" s="1973">
        <f t="shared" si="154"/>
        <v>0</v>
      </c>
      <c r="AX270" s="197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3">
        <f t="shared" si="153"/>
        <v>0</v>
      </c>
      <c r="AW271" s="1973">
        <f t="shared" si="154"/>
        <v>0</v>
      </c>
      <c r="AX271" s="197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3">
        <f t="shared" si="153"/>
        <v>0</v>
      </c>
      <c r="AW272" s="1973">
        <f t="shared" si="154"/>
        <v>0</v>
      </c>
      <c r="AX272" s="197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3">
        <f t="shared" si="153"/>
        <v>0</v>
      </c>
      <c r="AW273" s="1973">
        <f t="shared" si="154"/>
        <v>0</v>
      </c>
      <c r="AX273" s="197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3">
        <f t="shared" si="153"/>
        <v>0</v>
      </c>
      <c r="AW274" s="1973">
        <f t="shared" si="154"/>
        <v>0</v>
      </c>
      <c r="AX274" s="197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3">
        <f t="shared" si="153"/>
        <v>0</v>
      </c>
      <c r="AW275" s="1973">
        <f t="shared" si="154"/>
        <v>0</v>
      </c>
      <c r="AX275" s="197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3">
        <f t="shared" si="153"/>
        <v>0</v>
      </c>
      <c r="AW276" s="1973">
        <f t="shared" si="154"/>
        <v>0</v>
      </c>
      <c r="AX276" s="197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3">
        <f t="shared" si="153"/>
        <v>0</v>
      </c>
      <c r="AW277" s="1973">
        <f t="shared" si="154"/>
        <v>0</v>
      </c>
      <c r="AX277" s="197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3">
        <f t="shared" si="153"/>
        <v>0</v>
      </c>
      <c r="AW278" s="1973">
        <f t="shared" si="154"/>
        <v>0</v>
      </c>
      <c r="AX278" s="197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3">
        <f t="shared" si="153"/>
        <v>0</v>
      </c>
      <c r="AW279" s="1973">
        <f t="shared" si="154"/>
        <v>0</v>
      </c>
      <c r="AX279" s="197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3">
        <f t="shared" si="153"/>
        <v>0</v>
      </c>
      <c r="AW280" s="1973">
        <f t="shared" si="154"/>
        <v>0</v>
      </c>
      <c r="AX280" s="197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3">
        <f t="shared" si="153"/>
        <v>0</v>
      </c>
      <c r="AW281" s="1973">
        <f t="shared" si="154"/>
        <v>0</v>
      </c>
      <c r="AX281" s="197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3">
        <f t="shared" si="153"/>
        <v>0</v>
      </c>
      <c r="AW282" s="1973">
        <f t="shared" si="154"/>
        <v>0</v>
      </c>
      <c r="AX282" s="197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3">
        <f t="shared" si="153"/>
        <v>0</v>
      </c>
      <c r="AW283" s="1973">
        <f t="shared" si="154"/>
        <v>0</v>
      </c>
      <c r="AX283" s="197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3">
        <f t="shared" si="153"/>
        <v>0</v>
      </c>
      <c r="AW284" s="1973">
        <f t="shared" si="154"/>
        <v>0</v>
      </c>
      <c r="AX284" s="197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3">
        <f t="shared" si="153"/>
        <v>0</v>
      </c>
      <c r="AW285" s="1973">
        <f t="shared" si="154"/>
        <v>0</v>
      </c>
      <c r="AX285" s="197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3">
        <f t="shared" si="153"/>
        <v>0</v>
      </c>
      <c r="AW286" s="1973">
        <f t="shared" si="154"/>
        <v>0</v>
      </c>
      <c r="AX286" s="197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3">
        <f t="shared" si="153"/>
        <v>0</v>
      </c>
      <c r="AW287" s="1973">
        <f t="shared" si="154"/>
        <v>0</v>
      </c>
      <c r="AX287" s="197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3">
        <f t="shared" si="153"/>
        <v>0</v>
      </c>
      <c r="AW288" s="1973">
        <f t="shared" si="154"/>
        <v>0</v>
      </c>
      <c r="AX288" s="197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3">
        <f t="shared" si="153"/>
        <v>0</v>
      </c>
      <c r="AW289" s="1973">
        <f t="shared" si="154"/>
        <v>0</v>
      </c>
      <c r="AX289" s="197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3">
        <f t="shared" si="153"/>
        <v>0</v>
      </c>
      <c r="AW290" s="1973">
        <f t="shared" si="154"/>
        <v>0</v>
      </c>
      <c r="AX290" s="197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3">
        <f t="shared" si="153"/>
        <v>0</v>
      </c>
      <c r="AW291" s="1973">
        <f t="shared" si="154"/>
        <v>0</v>
      </c>
      <c r="AX291" s="197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3">
        <f t="shared" si="153"/>
        <v>0</v>
      </c>
      <c r="AW292" s="1973">
        <f t="shared" si="154"/>
        <v>0</v>
      </c>
      <c r="AX292" s="197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3">
        <f t="shared" si="153"/>
        <v>0</v>
      </c>
      <c r="AW293" s="1973">
        <f t="shared" si="154"/>
        <v>0</v>
      </c>
      <c r="AX293" s="197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3">
        <f t="shared" si="153"/>
        <v>0</v>
      </c>
      <c r="AW294" s="1973">
        <f t="shared" si="154"/>
        <v>0</v>
      </c>
      <c r="AX294" s="197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3">
        <f t="shared" si="153"/>
        <v>0</v>
      </c>
      <c r="AW295" s="1973">
        <f t="shared" si="154"/>
        <v>0</v>
      </c>
      <c r="AX295" s="197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3">
        <f t="shared" si="153"/>
        <v>0</v>
      </c>
      <c r="AW296" s="1973">
        <f t="shared" si="154"/>
        <v>0</v>
      </c>
      <c r="AX296" s="197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9"/>
      <c r="AO297" s="92"/>
      <c r="AP297" s="92"/>
      <c r="AQ297" s="92"/>
      <c r="AR297" s="92"/>
      <c r="AS297" s="92"/>
      <c r="AT297" s="93"/>
      <c r="AU297" s="94"/>
      <c r="AV297" s="1973">
        <f t="shared" ref="AV297:AV328" si="204">A297</f>
        <v>0</v>
      </c>
      <c r="AW297" s="1973">
        <f t="shared" ref="AW297:AW328" si="205">B297</f>
        <v>0</v>
      </c>
      <c r="AX297" s="197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2"/>
      <c r="AG298" s="92"/>
      <c r="AH298" s="92"/>
      <c r="AI298" s="92"/>
      <c r="AJ298" s="92"/>
      <c r="AK298" s="92"/>
      <c r="AL298" s="1359"/>
      <c r="AM298" s="92"/>
      <c r="AN298" s="1359"/>
      <c r="AO298" s="92"/>
      <c r="AP298" s="92"/>
      <c r="AQ298" s="92"/>
      <c r="AR298" s="92"/>
      <c r="AS298" s="92"/>
      <c r="AT298" s="93"/>
      <c r="AU298" s="94"/>
      <c r="AV298" s="1973">
        <f t="shared" si="204"/>
        <v>0</v>
      </c>
      <c r="AW298" s="1973">
        <f t="shared" si="205"/>
        <v>0</v>
      </c>
      <c r="AX298" s="197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9"/>
      <c r="AM299" s="92"/>
      <c r="AN299" s="1359"/>
      <c r="AO299" s="92"/>
      <c r="AP299" s="92"/>
      <c r="AQ299" s="92"/>
      <c r="AR299" s="92"/>
      <c r="AS299" s="92"/>
      <c r="AT299" s="93"/>
      <c r="AU299" s="94"/>
      <c r="AV299" s="1973">
        <f t="shared" si="204"/>
        <v>0</v>
      </c>
      <c r="AW299" s="1973">
        <f t="shared" si="205"/>
        <v>0</v>
      </c>
      <c r="AX299" s="197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9"/>
      <c r="AO300" s="92"/>
      <c r="AP300" s="92"/>
      <c r="AQ300" s="92"/>
      <c r="AR300" s="92"/>
      <c r="AS300" s="92"/>
      <c r="AT300" s="93"/>
      <c r="AU300" s="94"/>
      <c r="AV300" s="1973">
        <f t="shared" si="204"/>
        <v>0</v>
      </c>
      <c r="AW300" s="1973">
        <f t="shared" si="205"/>
        <v>0</v>
      </c>
      <c r="AX300" s="197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73">
        <f t="shared" si="204"/>
        <v>0</v>
      </c>
      <c r="AW301" s="1973">
        <f t="shared" si="205"/>
        <v>0</v>
      </c>
      <c r="AX301" s="197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73">
        <f t="shared" si="204"/>
        <v>0</v>
      </c>
      <c r="AW302" s="1973">
        <f t="shared" si="205"/>
        <v>0</v>
      </c>
      <c r="AX302" s="197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73">
        <f t="shared" si="204"/>
        <v>0</v>
      </c>
      <c r="AW303" s="1973">
        <f t="shared" si="205"/>
        <v>0</v>
      </c>
      <c r="AX303" s="197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73">
        <f t="shared" si="204"/>
        <v>0</v>
      </c>
      <c r="AW304" s="1973">
        <f t="shared" si="205"/>
        <v>0</v>
      </c>
      <c r="AX304" s="197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73">
        <f t="shared" si="204"/>
        <v>0</v>
      </c>
      <c r="AW305" s="1973">
        <f t="shared" si="205"/>
        <v>0</v>
      </c>
      <c r="AX305" s="197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73">
        <f t="shared" si="204"/>
        <v>0</v>
      </c>
      <c r="AW306" s="1973">
        <f t="shared" si="205"/>
        <v>0</v>
      </c>
      <c r="AX306" s="197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73">
        <f t="shared" si="204"/>
        <v>0</v>
      </c>
      <c r="AW307" s="1973">
        <f t="shared" si="205"/>
        <v>0</v>
      </c>
      <c r="AX307" s="197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73">
        <f t="shared" si="204"/>
        <v>0</v>
      </c>
      <c r="AW308" s="1973">
        <f t="shared" si="205"/>
        <v>0</v>
      </c>
      <c r="AX308" s="197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73">
        <f t="shared" si="204"/>
        <v>0</v>
      </c>
      <c r="AW309" s="1973">
        <f t="shared" si="205"/>
        <v>0</v>
      </c>
      <c r="AX309" s="197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73">
        <f t="shared" si="204"/>
        <v>0</v>
      </c>
      <c r="AW310" s="1973">
        <f t="shared" si="205"/>
        <v>0</v>
      </c>
      <c r="AX310" s="197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73">
        <f t="shared" si="204"/>
        <v>0</v>
      </c>
      <c r="AW311" s="1973">
        <f t="shared" si="205"/>
        <v>0</v>
      </c>
      <c r="AX311" s="197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73">
        <f t="shared" si="204"/>
        <v>0</v>
      </c>
      <c r="AW312" s="1973">
        <f t="shared" si="205"/>
        <v>0</v>
      </c>
      <c r="AX312" s="197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73">
        <f t="shared" si="204"/>
        <v>0</v>
      </c>
      <c r="AW313" s="1973">
        <f t="shared" si="205"/>
        <v>0</v>
      </c>
      <c r="AX313" s="197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73">
        <f t="shared" si="204"/>
        <v>0</v>
      </c>
      <c r="AW314" s="1973">
        <f t="shared" si="205"/>
        <v>0</v>
      </c>
      <c r="AX314" s="197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73">
        <f t="shared" si="204"/>
        <v>0</v>
      </c>
      <c r="AW315" s="1973">
        <f t="shared" si="205"/>
        <v>0</v>
      </c>
      <c r="AX315" s="197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73">
        <f t="shared" si="204"/>
        <v>0</v>
      </c>
      <c r="AW316" s="1973">
        <f t="shared" si="205"/>
        <v>0</v>
      </c>
      <c r="AX316" s="197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73">
        <f t="shared" si="204"/>
        <v>0</v>
      </c>
      <c r="AW317" s="1973">
        <f t="shared" si="205"/>
        <v>0</v>
      </c>
      <c r="AX317" s="197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73">
        <f t="shared" si="204"/>
        <v>0</v>
      </c>
      <c r="AW318" s="1973">
        <f t="shared" si="205"/>
        <v>0</v>
      </c>
      <c r="AX318" s="197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73">
        <f t="shared" si="204"/>
        <v>0</v>
      </c>
      <c r="AW319" s="1973">
        <f t="shared" si="205"/>
        <v>0</v>
      </c>
      <c r="AX319" s="197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73">
        <f t="shared" si="204"/>
        <v>0</v>
      </c>
      <c r="AW320" s="1973">
        <f t="shared" si="205"/>
        <v>0</v>
      </c>
      <c r="AX320" s="197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73">
        <f t="shared" si="204"/>
        <v>0</v>
      </c>
      <c r="AW321" s="1973">
        <f t="shared" si="205"/>
        <v>0</v>
      </c>
      <c r="AX321" s="197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73">
        <f t="shared" si="204"/>
        <v>0</v>
      </c>
      <c r="AW322" s="1973">
        <f t="shared" si="205"/>
        <v>0</v>
      </c>
      <c r="AX322" s="197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73">
        <f t="shared" si="204"/>
        <v>0</v>
      </c>
      <c r="AW323" s="1973">
        <f t="shared" si="205"/>
        <v>0</v>
      </c>
      <c r="AX323" s="197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73">
        <f t="shared" si="204"/>
        <v>0</v>
      </c>
      <c r="AW324" s="1973">
        <f t="shared" si="205"/>
        <v>0</v>
      </c>
      <c r="AX324" s="197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73">
        <f t="shared" si="204"/>
        <v>0</v>
      </c>
      <c r="AW325" s="1973">
        <f t="shared" si="205"/>
        <v>0</v>
      </c>
      <c r="AX325" s="197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73">
        <f t="shared" si="204"/>
        <v>0</v>
      </c>
      <c r="AW326" s="1973">
        <f t="shared" si="205"/>
        <v>0</v>
      </c>
      <c r="AX326" s="197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73">
        <f t="shared" si="204"/>
        <v>0</v>
      </c>
      <c r="AW327" s="1973">
        <f t="shared" si="205"/>
        <v>0</v>
      </c>
      <c r="AX327" s="197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73">
        <f t="shared" si="204"/>
        <v>0</v>
      </c>
      <c r="AW328" s="1973">
        <f t="shared" si="205"/>
        <v>0</v>
      </c>
      <c r="AX328" s="197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73">
        <f t="shared" ref="AV329:AV360" si="233">A329</f>
        <v>0</v>
      </c>
      <c r="AW329" s="1973">
        <f t="shared" ref="AW329:AW360" si="234">B329</f>
        <v>0</v>
      </c>
      <c r="AX329" s="197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73">
        <f t="shared" si="233"/>
        <v>0</v>
      </c>
      <c r="AW330" s="1973">
        <f t="shared" si="234"/>
        <v>0</v>
      </c>
      <c r="AX330" s="197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73">
        <f t="shared" si="233"/>
        <v>0</v>
      </c>
      <c r="AW331" s="1973">
        <f t="shared" si="234"/>
        <v>0</v>
      </c>
      <c r="AX331" s="197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3">
        <f t="shared" si="233"/>
        <v>0</v>
      </c>
      <c r="AW332" s="1973">
        <f t="shared" si="234"/>
        <v>0</v>
      </c>
      <c r="AX332" s="197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3">
        <f t="shared" si="233"/>
        <v>0</v>
      </c>
      <c r="AW333" s="1973">
        <f t="shared" si="234"/>
        <v>0</v>
      </c>
      <c r="AX333" s="197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3">
        <f t="shared" si="233"/>
        <v>0</v>
      </c>
      <c r="AW334" s="1973">
        <f t="shared" si="234"/>
        <v>0</v>
      </c>
      <c r="AX334" s="197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3">
        <f t="shared" si="233"/>
        <v>0</v>
      </c>
      <c r="AW335" s="1973">
        <f t="shared" si="234"/>
        <v>0</v>
      </c>
      <c r="AX335" s="197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3">
        <f t="shared" si="233"/>
        <v>0</v>
      </c>
      <c r="AW336" s="1973">
        <f t="shared" si="234"/>
        <v>0</v>
      </c>
      <c r="AX336" s="197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3">
        <f t="shared" si="233"/>
        <v>0</v>
      </c>
      <c r="AW337" s="1973">
        <f t="shared" si="234"/>
        <v>0</v>
      </c>
      <c r="AX337" s="197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3">
        <f t="shared" si="233"/>
        <v>0</v>
      </c>
      <c r="AW338" s="1973">
        <f t="shared" si="234"/>
        <v>0</v>
      </c>
      <c r="AX338" s="197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3">
        <f t="shared" si="233"/>
        <v>0</v>
      </c>
      <c r="AW339" s="1973">
        <f t="shared" si="234"/>
        <v>0</v>
      </c>
      <c r="AX339" s="197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3">
        <f t="shared" si="233"/>
        <v>0</v>
      </c>
      <c r="AW340" s="1973">
        <f t="shared" si="234"/>
        <v>0</v>
      </c>
      <c r="AX340" s="197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3">
        <f t="shared" si="233"/>
        <v>0</v>
      </c>
      <c r="AW341" s="1973">
        <f t="shared" si="234"/>
        <v>0</v>
      </c>
      <c r="AX341" s="197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3">
        <f t="shared" si="233"/>
        <v>0</v>
      </c>
      <c r="AW342" s="1973">
        <f t="shared" si="234"/>
        <v>0</v>
      </c>
      <c r="AX342" s="197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3">
        <f t="shared" si="233"/>
        <v>0</v>
      </c>
      <c r="AW343" s="1973">
        <f t="shared" si="234"/>
        <v>0</v>
      </c>
      <c r="AX343" s="197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3">
        <f t="shared" si="233"/>
        <v>0</v>
      </c>
      <c r="AW344" s="1973">
        <f t="shared" si="234"/>
        <v>0</v>
      </c>
      <c r="AX344" s="197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3">
        <f t="shared" si="233"/>
        <v>0</v>
      </c>
      <c r="AW345" s="1973">
        <f t="shared" si="234"/>
        <v>0</v>
      </c>
      <c r="AX345" s="197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3">
        <f t="shared" si="233"/>
        <v>0</v>
      </c>
      <c r="AW346" s="1973">
        <f t="shared" si="234"/>
        <v>0</v>
      </c>
      <c r="AX346" s="197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3">
        <f t="shared" si="233"/>
        <v>0</v>
      </c>
      <c r="AW347" s="1973">
        <f t="shared" si="234"/>
        <v>0</v>
      </c>
      <c r="AX347" s="197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3">
        <f t="shared" si="233"/>
        <v>0</v>
      </c>
      <c r="AW348" s="1973">
        <f t="shared" si="234"/>
        <v>0</v>
      </c>
      <c r="AX348" s="197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3">
        <f t="shared" si="233"/>
        <v>0</v>
      </c>
      <c r="AW349" s="1973">
        <f t="shared" si="234"/>
        <v>0</v>
      </c>
      <c r="AX349" s="197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3">
        <f t="shared" si="233"/>
        <v>0</v>
      </c>
      <c r="AW350" s="1973">
        <f t="shared" si="234"/>
        <v>0</v>
      </c>
      <c r="AX350" s="197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3">
        <f t="shared" si="233"/>
        <v>0</v>
      </c>
      <c r="AW351" s="1973">
        <f t="shared" si="234"/>
        <v>0</v>
      </c>
      <c r="AX351" s="197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3">
        <f t="shared" si="233"/>
        <v>0</v>
      </c>
      <c r="AW352" s="1973">
        <f t="shared" si="234"/>
        <v>0</v>
      </c>
      <c r="AX352" s="197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3">
        <f t="shared" si="233"/>
        <v>0</v>
      </c>
      <c r="AW353" s="1973">
        <f t="shared" si="234"/>
        <v>0</v>
      </c>
      <c r="AX353" s="197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3">
        <f t="shared" si="233"/>
        <v>0</v>
      </c>
      <c r="AW354" s="1973">
        <f t="shared" si="234"/>
        <v>0</v>
      </c>
      <c r="AX354" s="197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3">
        <f t="shared" si="233"/>
        <v>0</v>
      </c>
      <c r="AW355" s="1973">
        <f t="shared" si="234"/>
        <v>0</v>
      </c>
      <c r="AX355" s="197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3">
        <f t="shared" si="233"/>
        <v>0</v>
      </c>
      <c r="AW356" s="1973">
        <f t="shared" si="234"/>
        <v>0</v>
      </c>
      <c r="AX356" s="197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3">
        <f t="shared" si="233"/>
        <v>0</v>
      </c>
      <c r="AW357" s="1973">
        <f t="shared" si="234"/>
        <v>0</v>
      </c>
      <c r="AX357" s="197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3">
        <f t="shared" si="233"/>
        <v>0</v>
      </c>
      <c r="AW358" s="1973">
        <f t="shared" si="234"/>
        <v>0</v>
      </c>
      <c r="AX358" s="197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3">
        <f t="shared" si="233"/>
        <v>0</v>
      </c>
      <c r="AW359" s="1973">
        <f t="shared" si="234"/>
        <v>0</v>
      </c>
      <c r="AX359" s="197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3">
        <f t="shared" si="233"/>
        <v>0</v>
      </c>
      <c r="AW360" s="1973">
        <f t="shared" si="234"/>
        <v>0</v>
      </c>
      <c r="AX360" s="197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3">
        <f t="shared" ref="AV361:AV388" si="262">A361</f>
        <v>0</v>
      </c>
      <c r="AW361" s="1973">
        <f t="shared" ref="AW361:AW388" si="263">B361</f>
        <v>0</v>
      </c>
      <c r="AX361" s="197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3">
        <f t="shared" si="262"/>
        <v>0</v>
      </c>
      <c r="AW362" s="1973">
        <f t="shared" si="263"/>
        <v>0</v>
      </c>
      <c r="AX362" s="197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3">
        <f t="shared" si="262"/>
        <v>0</v>
      </c>
      <c r="AW363" s="1973">
        <f t="shared" si="263"/>
        <v>0</v>
      </c>
      <c r="AX363" s="197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3">
        <f t="shared" si="262"/>
        <v>0</v>
      </c>
      <c r="AW364" s="1973">
        <f t="shared" si="263"/>
        <v>0</v>
      </c>
      <c r="AX364" s="197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3">
        <f t="shared" si="262"/>
        <v>0</v>
      </c>
      <c r="AW365" s="1973">
        <f t="shared" si="263"/>
        <v>0</v>
      </c>
      <c r="AX365" s="197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3">
        <f t="shared" si="262"/>
        <v>0</v>
      </c>
      <c r="AW366" s="1973">
        <f t="shared" si="263"/>
        <v>0</v>
      </c>
      <c r="AX366" s="197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3">
        <f t="shared" si="262"/>
        <v>0</v>
      </c>
      <c r="AW367" s="1973">
        <f t="shared" si="263"/>
        <v>0</v>
      </c>
      <c r="AX367" s="197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3">
        <f t="shared" si="262"/>
        <v>0</v>
      </c>
      <c r="AW368" s="1973">
        <f t="shared" si="263"/>
        <v>0</v>
      </c>
      <c r="AX368" s="197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3">
        <f t="shared" si="262"/>
        <v>0</v>
      </c>
      <c r="AW369" s="1973">
        <f t="shared" si="263"/>
        <v>0</v>
      </c>
      <c r="AX369" s="197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3">
        <f t="shared" si="262"/>
        <v>0</v>
      </c>
      <c r="AW370" s="1973">
        <f t="shared" si="263"/>
        <v>0</v>
      </c>
      <c r="AX370" s="197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3">
        <f t="shared" si="262"/>
        <v>0</v>
      </c>
      <c r="AW371" s="1973">
        <f t="shared" si="263"/>
        <v>0</v>
      </c>
      <c r="AX371" s="197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3">
        <f t="shared" si="262"/>
        <v>0</v>
      </c>
      <c r="AW372" s="1973">
        <f t="shared" si="263"/>
        <v>0</v>
      </c>
      <c r="AX372" s="197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3">
        <f t="shared" si="262"/>
        <v>0</v>
      </c>
      <c r="AW373" s="1973">
        <f t="shared" si="263"/>
        <v>0</v>
      </c>
      <c r="AX373" s="197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3">
        <f t="shared" si="262"/>
        <v>0</v>
      </c>
      <c r="AW374" s="1973">
        <f t="shared" si="263"/>
        <v>0</v>
      </c>
      <c r="AX374" s="197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3">
        <f t="shared" si="262"/>
        <v>0</v>
      </c>
      <c r="AW375" s="1973">
        <f t="shared" si="263"/>
        <v>0</v>
      </c>
      <c r="AX375" s="197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3">
        <f t="shared" si="262"/>
        <v>0</v>
      </c>
      <c r="AW376" s="1973">
        <f t="shared" si="263"/>
        <v>0</v>
      </c>
      <c r="AX376" s="197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3">
        <f t="shared" si="262"/>
        <v>0</v>
      </c>
      <c r="AW377" s="1973">
        <f t="shared" si="263"/>
        <v>0</v>
      </c>
      <c r="AX377" s="197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3">
        <f t="shared" si="262"/>
        <v>0</v>
      </c>
      <c r="AW378" s="1973">
        <f t="shared" si="263"/>
        <v>0</v>
      </c>
      <c r="AX378" s="197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3">
        <f t="shared" si="262"/>
        <v>0</v>
      </c>
      <c r="AW379" s="1973">
        <f t="shared" si="263"/>
        <v>0</v>
      </c>
      <c r="AX379" s="197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3">
        <f t="shared" si="262"/>
        <v>0</v>
      </c>
      <c r="AW380" s="1973">
        <f t="shared" si="263"/>
        <v>0</v>
      </c>
      <c r="AX380" s="197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3">
        <f t="shared" si="262"/>
        <v>0</v>
      </c>
      <c r="AW381" s="1973">
        <f t="shared" si="263"/>
        <v>0</v>
      </c>
      <c r="AX381" s="197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3">
        <f t="shared" si="262"/>
        <v>0</v>
      </c>
      <c r="AW382" s="1973">
        <f t="shared" si="263"/>
        <v>0</v>
      </c>
      <c r="AX382" s="197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3">
        <f t="shared" si="262"/>
        <v>0</v>
      </c>
      <c r="AW383" s="1973">
        <f t="shared" si="263"/>
        <v>0</v>
      </c>
      <c r="AX383" s="197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3">
        <f t="shared" si="262"/>
        <v>0</v>
      </c>
      <c r="AW384" s="1973">
        <f t="shared" si="263"/>
        <v>0</v>
      </c>
      <c r="AX384" s="197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3">
        <f t="shared" si="262"/>
        <v>0</v>
      </c>
      <c r="AW385" s="1973">
        <f t="shared" si="263"/>
        <v>0</v>
      </c>
      <c r="AX385" s="197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3">
        <f t="shared" si="262"/>
        <v>0</v>
      </c>
      <c r="AW386" s="1973">
        <f t="shared" si="263"/>
        <v>0</v>
      </c>
      <c r="AX386" s="197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3">
        <f t="shared" si="262"/>
        <v>0</v>
      </c>
      <c r="AW387" s="1973">
        <f t="shared" si="263"/>
        <v>0</v>
      </c>
      <c r="AX387" s="197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3">
        <f t="shared" si="262"/>
        <v>0</v>
      </c>
      <c r="AW388" s="1973">
        <f t="shared" si="263"/>
        <v>0</v>
      </c>
      <c r="AX388" s="197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9"/>
      <c r="AO389" s="92"/>
      <c r="AP389" s="92"/>
      <c r="AQ389" s="92"/>
      <c r="AR389" s="92"/>
      <c r="AS389" s="92"/>
      <c r="AT389" s="93"/>
      <c r="AU389" s="94"/>
      <c r="AV389" s="1973">
        <f t="shared" ref="AV389:AV480" si="269">A389</f>
        <v>0</v>
      </c>
      <c r="AW389" s="1973">
        <f t="shared" ref="AW389:AW480" si="270">B389</f>
        <v>0</v>
      </c>
      <c r="AX389" s="197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2"/>
      <c r="AG390" s="92"/>
      <c r="AH390" s="92"/>
      <c r="AI390" s="92"/>
      <c r="AJ390" s="92"/>
      <c r="AK390" s="92"/>
      <c r="AL390" s="1359"/>
      <c r="AM390" s="92"/>
      <c r="AN390" s="1359"/>
      <c r="AO390" s="92"/>
      <c r="AP390" s="92"/>
      <c r="AQ390" s="92"/>
      <c r="AR390" s="92"/>
      <c r="AS390" s="92"/>
      <c r="AT390" s="93"/>
      <c r="AU390" s="94"/>
      <c r="AV390" s="1973">
        <f t="shared" si="269"/>
        <v>0</v>
      </c>
      <c r="AW390" s="1973">
        <f t="shared" si="270"/>
        <v>0</v>
      </c>
      <c r="AX390" s="197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9"/>
      <c r="AM391" s="92"/>
      <c r="AN391" s="1359"/>
      <c r="AO391" s="92"/>
      <c r="AP391" s="92"/>
      <c r="AQ391" s="92"/>
      <c r="AR391" s="92"/>
      <c r="AS391" s="92"/>
      <c r="AT391" s="93"/>
      <c r="AU391" s="94"/>
      <c r="AV391" s="1973">
        <f t="shared" si="269"/>
        <v>0</v>
      </c>
      <c r="AW391" s="1973">
        <f t="shared" si="270"/>
        <v>0</v>
      </c>
      <c r="AX391" s="197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9"/>
      <c r="AO392" s="92"/>
      <c r="AP392" s="92"/>
      <c r="AQ392" s="92"/>
      <c r="AR392" s="92"/>
      <c r="AS392" s="92"/>
      <c r="AT392" s="93"/>
      <c r="AU392" s="94"/>
      <c r="AV392" s="1973">
        <f t="shared" si="269"/>
        <v>0</v>
      </c>
      <c r="AW392" s="1973">
        <f t="shared" si="270"/>
        <v>0</v>
      </c>
      <c r="AX392" s="197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73">
        <f t="shared" si="269"/>
        <v>0</v>
      </c>
      <c r="AW393" s="1973">
        <f t="shared" si="270"/>
        <v>0</v>
      </c>
      <c r="AX393" s="197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73">
        <f t="shared" si="269"/>
        <v>0</v>
      </c>
      <c r="AW394" s="1973">
        <f t="shared" si="270"/>
        <v>0</v>
      </c>
      <c r="AX394" s="197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73">
        <f t="shared" si="269"/>
        <v>0</v>
      </c>
      <c r="AW395" s="1973">
        <f t="shared" si="270"/>
        <v>0</v>
      </c>
      <c r="AX395" s="197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73">
        <f t="shared" si="269"/>
        <v>0</v>
      </c>
      <c r="AW396" s="1973">
        <f t="shared" si="270"/>
        <v>0</v>
      </c>
      <c r="AX396" s="197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73">
        <f t="shared" si="269"/>
        <v>0</v>
      </c>
      <c r="AW397" s="1973">
        <f t="shared" si="270"/>
        <v>0</v>
      </c>
      <c r="AX397" s="197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73">
        <f t="shared" si="269"/>
        <v>0</v>
      </c>
      <c r="AW398" s="1973">
        <f t="shared" si="270"/>
        <v>0</v>
      </c>
      <c r="AX398" s="197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73">
        <f t="shared" si="269"/>
        <v>0</v>
      </c>
      <c r="AW399" s="1973">
        <f t="shared" si="270"/>
        <v>0</v>
      </c>
      <c r="AX399" s="197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73">
        <f t="shared" si="269"/>
        <v>0</v>
      </c>
      <c r="AW400" s="1973">
        <f t="shared" si="270"/>
        <v>0</v>
      </c>
      <c r="AX400" s="197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73">
        <f t="shared" si="269"/>
        <v>0</v>
      </c>
      <c r="AW401" s="1973">
        <f t="shared" si="270"/>
        <v>0</v>
      </c>
      <c r="AX401" s="197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73">
        <f t="shared" si="269"/>
        <v>0</v>
      </c>
      <c r="AW402" s="1973">
        <f t="shared" si="270"/>
        <v>0</v>
      </c>
      <c r="AX402" s="197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73">
        <f t="shared" si="269"/>
        <v>0</v>
      </c>
      <c r="AW403" s="1973">
        <f t="shared" si="270"/>
        <v>0</v>
      </c>
      <c r="AX403" s="197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73">
        <f t="shared" si="269"/>
        <v>0</v>
      </c>
      <c r="AW404" s="1973">
        <f t="shared" si="270"/>
        <v>0</v>
      </c>
      <c r="AX404" s="197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73">
        <f t="shared" si="269"/>
        <v>0</v>
      </c>
      <c r="AW405" s="1973">
        <f t="shared" si="270"/>
        <v>0</v>
      </c>
      <c r="AX405" s="197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73">
        <f t="shared" si="269"/>
        <v>0</v>
      </c>
      <c r="AW406" s="1973">
        <f t="shared" si="270"/>
        <v>0</v>
      </c>
      <c r="AX406" s="197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73">
        <f t="shared" si="269"/>
        <v>0</v>
      </c>
      <c r="AW407" s="1973">
        <f t="shared" si="270"/>
        <v>0</v>
      </c>
      <c r="AX407" s="197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73">
        <f t="shared" si="269"/>
        <v>0</v>
      </c>
      <c r="AW408" s="1973">
        <f t="shared" si="270"/>
        <v>0</v>
      </c>
      <c r="AX408" s="197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73">
        <f t="shared" si="269"/>
        <v>0</v>
      </c>
      <c r="AW409" s="1973">
        <f t="shared" si="270"/>
        <v>0</v>
      </c>
      <c r="AX409" s="197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73">
        <f t="shared" si="269"/>
        <v>0</v>
      </c>
      <c r="AW410" s="1973">
        <f t="shared" si="270"/>
        <v>0</v>
      </c>
      <c r="AX410" s="197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73">
        <f t="shared" si="269"/>
        <v>0</v>
      </c>
      <c r="AW411" s="1973">
        <f t="shared" si="270"/>
        <v>0</v>
      </c>
      <c r="AX411" s="197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73">
        <f t="shared" si="269"/>
        <v>0</v>
      </c>
      <c r="AW412" s="1973">
        <f t="shared" si="270"/>
        <v>0</v>
      </c>
      <c r="AX412" s="197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73">
        <f t="shared" si="269"/>
        <v>0</v>
      </c>
      <c r="AW413" s="1973">
        <f t="shared" si="270"/>
        <v>0</v>
      </c>
      <c r="AX413" s="197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73">
        <f t="shared" si="269"/>
        <v>0</v>
      </c>
      <c r="AW414" s="1973">
        <f t="shared" si="270"/>
        <v>0</v>
      </c>
      <c r="AX414" s="197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73">
        <f t="shared" si="269"/>
        <v>0</v>
      </c>
      <c r="AW415" s="1973">
        <f t="shared" si="270"/>
        <v>0</v>
      </c>
      <c r="AX415" s="197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73">
        <f t="shared" si="269"/>
        <v>0</v>
      </c>
      <c r="AW416" s="1973">
        <f t="shared" si="270"/>
        <v>0</v>
      </c>
      <c r="AX416" s="197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73">
        <f t="shared" si="269"/>
        <v>0</v>
      </c>
      <c r="AW417" s="1973">
        <f t="shared" si="270"/>
        <v>0</v>
      </c>
      <c r="AX417" s="197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73">
        <f t="shared" si="269"/>
        <v>0</v>
      </c>
      <c r="AW418" s="1973">
        <f t="shared" si="270"/>
        <v>0</v>
      </c>
      <c r="AX418" s="197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73">
        <f t="shared" si="269"/>
        <v>0</v>
      </c>
      <c r="AW419" s="1973">
        <f t="shared" si="270"/>
        <v>0</v>
      </c>
      <c r="AX419" s="197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73">
        <f t="shared" si="269"/>
        <v>0</v>
      </c>
      <c r="AW420" s="1973">
        <f t="shared" si="270"/>
        <v>0</v>
      </c>
      <c r="AX420" s="197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73">
        <f t="shared" si="269"/>
        <v>0</v>
      </c>
      <c r="AW421" s="1973">
        <f t="shared" si="270"/>
        <v>0</v>
      </c>
      <c r="AX421" s="197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73">
        <f t="shared" si="269"/>
        <v>0</v>
      </c>
      <c r="AW422" s="1973">
        <f t="shared" si="270"/>
        <v>0</v>
      </c>
      <c r="AX422" s="197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73">
        <f t="shared" si="269"/>
        <v>0</v>
      </c>
      <c r="AW423" s="1973">
        <f t="shared" si="270"/>
        <v>0</v>
      </c>
      <c r="AX423" s="197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3">
        <f t="shared" si="269"/>
        <v>0</v>
      </c>
      <c r="AW424" s="1973">
        <f t="shared" si="270"/>
        <v>0</v>
      </c>
      <c r="AX424" s="197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3">
        <f t="shared" si="269"/>
        <v>0</v>
      </c>
      <c r="AW425" s="1973">
        <f t="shared" si="270"/>
        <v>0</v>
      </c>
      <c r="AX425" s="197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3">
        <f t="shared" si="269"/>
        <v>0</v>
      </c>
      <c r="AW426" s="1973">
        <f t="shared" si="270"/>
        <v>0</v>
      </c>
      <c r="AX426" s="197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3">
        <f t="shared" si="269"/>
        <v>0</v>
      </c>
      <c r="AW427" s="1973">
        <f t="shared" si="270"/>
        <v>0</v>
      </c>
      <c r="AX427" s="197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3">
        <f t="shared" si="269"/>
        <v>0</v>
      </c>
      <c r="AW428" s="1973">
        <f t="shared" si="270"/>
        <v>0</v>
      </c>
      <c r="AX428" s="197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3">
        <f t="shared" si="269"/>
        <v>0</v>
      </c>
      <c r="AW429" s="1973">
        <f t="shared" si="270"/>
        <v>0</v>
      </c>
      <c r="AX429" s="197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3">
        <f t="shared" si="269"/>
        <v>0</v>
      </c>
      <c r="AW430" s="1973">
        <f t="shared" si="270"/>
        <v>0</v>
      </c>
      <c r="AX430" s="197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3">
        <f t="shared" si="269"/>
        <v>0</v>
      </c>
      <c r="AW431" s="1973">
        <f t="shared" si="270"/>
        <v>0</v>
      </c>
      <c r="AX431" s="197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3">
        <f t="shared" si="269"/>
        <v>0</v>
      </c>
      <c r="AW432" s="1973">
        <f t="shared" si="270"/>
        <v>0</v>
      </c>
      <c r="AX432" s="197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3">
        <f t="shared" si="269"/>
        <v>0</v>
      </c>
      <c r="AW433" s="1973">
        <f t="shared" si="270"/>
        <v>0</v>
      </c>
      <c r="AX433" s="197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3">
        <f t="shared" si="269"/>
        <v>0</v>
      </c>
      <c r="AW434" s="1973">
        <f t="shared" si="270"/>
        <v>0</v>
      </c>
      <c r="AX434" s="197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3">
        <f t="shared" si="269"/>
        <v>0</v>
      </c>
      <c r="AW435" s="1973">
        <f t="shared" si="270"/>
        <v>0</v>
      </c>
      <c r="AX435" s="197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3">
        <f t="shared" si="269"/>
        <v>0</v>
      </c>
      <c r="AW436" s="1973">
        <f t="shared" si="270"/>
        <v>0</v>
      </c>
      <c r="AX436" s="197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3">
        <f t="shared" si="269"/>
        <v>0</v>
      </c>
      <c r="AW437" s="1973">
        <f t="shared" si="270"/>
        <v>0</v>
      </c>
      <c r="AX437" s="197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3">
        <f t="shared" si="269"/>
        <v>0</v>
      </c>
      <c r="AW438" s="1973">
        <f t="shared" si="270"/>
        <v>0</v>
      </c>
      <c r="AX438" s="197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3">
        <f t="shared" si="269"/>
        <v>0</v>
      </c>
      <c r="AW439" s="1973">
        <f t="shared" si="270"/>
        <v>0</v>
      </c>
      <c r="AX439" s="197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3">
        <f t="shared" si="269"/>
        <v>0</v>
      </c>
      <c r="AW440" s="1973">
        <f t="shared" si="270"/>
        <v>0</v>
      </c>
      <c r="AX440" s="197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3">
        <f t="shared" si="269"/>
        <v>0</v>
      </c>
      <c r="AW441" s="1973">
        <f t="shared" si="270"/>
        <v>0</v>
      </c>
      <c r="AX441" s="197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3">
        <f t="shared" si="269"/>
        <v>0</v>
      </c>
      <c r="AW442" s="1973">
        <f t="shared" si="270"/>
        <v>0</v>
      </c>
      <c r="AX442" s="197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3">
        <f t="shared" si="269"/>
        <v>0</v>
      </c>
      <c r="AW443" s="1973">
        <f t="shared" si="270"/>
        <v>0</v>
      </c>
      <c r="AX443" s="197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3">
        <f t="shared" si="269"/>
        <v>0</v>
      </c>
      <c r="AW444" s="1973">
        <f t="shared" si="270"/>
        <v>0</v>
      </c>
      <c r="AX444" s="197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3">
        <f t="shared" si="269"/>
        <v>0</v>
      </c>
      <c r="AW445" s="1973">
        <f t="shared" si="270"/>
        <v>0</v>
      </c>
      <c r="AX445" s="197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3">
        <f t="shared" si="269"/>
        <v>0</v>
      </c>
      <c r="AW446" s="1973">
        <f t="shared" si="270"/>
        <v>0</v>
      </c>
      <c r="AX446" s="197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3">
        <f t="shared" si="269"/>
        <v>0</v>
      </c>
      <c r="AW447" s="1973">
        <f t="shared" si="270"/>
        <v>0</v>
      </c>
      <c r="AX447" s="197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3">
        <f t="shared" si="269"/>
        <v>0</v>
      </c>
      <c r="AW448" s="1973">
        <f t="shared" si="270"/>
        <v>0</v>
      </c>
      <c r="AX448" s="197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3">
        <f t="shared" si="269"/>
        <v>0</v>
      </c>
      <c r="AW449" s="1973">
        <f t="shared" si="270"/>
        <v>0</v>
      </c>
      <c r="AX449" s="197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3">
        <f t="shared" si="269"/>
        <v>0</v>
      </c>
      <c r="AW450" s="1973">
        <f t="shared" si="270"/>
        <v>0</v>
      </c>
      <c r="AX450" s="197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3">
        <f t="shared" si="269"/>
        <v>0</v>
      </c>
      <c r="AW451" s="1973">
        <f t="shared" si="270"/>
        <v>0</v>
      </c>
      <c r="AX451" s="197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3">
        <f t="shared" si="269"/>
        <v>0</v>
      </c>
      <c r="AW452" s="1973">
        <f t="shared" si="270"/>
        <v>0</v>
      </c>
      <c r="AX452" s="197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3">
        <f t="shared" si="269"/>
        <v>0</v>
      </c>
      <c r="AW453" s="1973">
        <f t="shared" si="270"/>
        <v>0</v>
      </c>
      <c r="AX453" s="197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3">
        <f t="shared" si="269"/>
        <v>0</v>
      </c>
      <c r="AW454" s="1973">
        <f t="shared" si="270"/>
        <v>0</v>
      </c>
      <c r="AX454" s="197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3">
        <f t="shared" si="269"/>
        <v>0</v>
      </c>
      <c r="AW455" s="1973">
        <f t="shared" si="270"/>
        <v>0</v>
      </c>
      <c r="AX455" s="197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3">
        <f t="shared" si="269"/>
        <v>0</v>
      </c>
      <c r="AW456" s="1973">
        <f t="shared" si="270"/>
        <v>0</v>
      </c>
      <c r="AX456" s="197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3">
        <f t="shared" si="269"/>
        <v>0</v>
      </c>
      <c r="AW457" s="1973">
        <f t="shared" si="270"/>
        <v>0</v>
      </c>
      <c r="AX457" s="197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3">
        <f t="shared" si="269"/>
        <v>0</v>
      </c>
      <c r="AW458" s="1973">
        <f t="shared" si="270"/>
        <v>0</v>
      </c>
      <c r="AX458" s="197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3">
        <f t="shared" si="269"/>
        <v>0</v>
      </c>
      <c r="AW459" s="1973">
        <f t="shared" si="270"/>
        <v>0</v>
      </c>
      <c r="AX459" s="197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3">
        <f t="shared" si="269"/>
        <v>0</v>
      </c>
      <c r="AW460" s="1973">
        <f t="shared" si="270"/>
        <v>0</v>
      </c>
      <c r="AX460" s="197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3">
        <f t="shared" si="269"/>
        <v>0</v>
      </c>
      <c r="AW461" s="1973">
        <f t="shared" si="270"/>
        <v>0</v>
      </c>
      <c r="AX461" s="197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3">
        <f t="shared" si="269"/>
        <v>0</v>
      </c>
      <c r="AW462" s="1973">
        <f t="shared" si="270"/>
        <v>0</v>
      </c>
      <c r="AX462" s="197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3">
        <f t="shared" si="269"/>
        <v>0</v>
      </c>
      <c r="AW463" s="1973">
        <f t="shared" si="270"/>
        <v>0</v>
      </c>
      <c r="AX463" s="197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3">
        <f t="shared" si="269"/>
        <v>0</v>
      </c>
      <c r="AW464" s="1973">
        <f t="shared" si="270"/>
        <v>0</v>
      </c>
      <c r="AX464" s="197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3">
        <f t="shared" si="269"/>
        <v>0</v>
      </c>
      <c r="AW465" s="1973">
        <f t="shared" si="270"/>
        <v>0</v>
      </c>
      <c r="AX465" s="197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3">
        <f t="shared" si="269"/>
        <v>0</v>
      </c>
      <c r="AW466" s="1973">
        <f t="shared" si="270"/>
        <v>0</v>
      </c>
      <c r="AX466" s="197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3">
        <f t="shared" si="269"/>
        <v>0</v>
      </c>
      <c r="AW467" s="1973">
        <f t="shared" si="270"/>
        <v>0</v>
      </c>
      <c r="AX467" s="197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3">
        <f t="shared" si="269"/>
        <v>0</v>
      </c>
      <c r="AW468" s="1973">
        <f t="shared" si="270"/>
        <v>0</v>
      </c>
      <c r="AX468" s="197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3">
        <f t="shared" si="269"/>
        <v>0</v>
      </c>
      <c r="AW469" s="1973">
        <f t="shared" si="270"/>
        <v>0</v>
      </c>
      <c r="AX469" s="197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3">
        <f t="shared" si="269"/>
        <v>0</v>
      </c>
      <c r="AW470" s="1973">
        <f t="shared" si="270"/>
        <v>0</v>
      </c>
      <c r="AX470" s="197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3">
        <f t="shared" si="269"/>
        <v>0</v>
      </c>
      <c r="AW471" s="1973">
        <f t="shared" si="270"/>
        <v>0</v>
      </c>
      <c r="AX471" s="197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3">
        <f t="shared" si="269"/>
        <v>0</v>
      </c>
      <c r="AW472" s="1973">
        <f t="shared" si="270"/>
        <v>0</v>
      </c>
      <c r="AX472" s="197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3">
        <f t="shared" si="269"/>
        <v>0</v>
      </c>
      <c r="AW473" s="1973">
        <f t="shared" si="270"/>
        <v>0</v>
      </c>
      <c r="AX473" s="197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3">
        <f t="shared" si="269"/>
        <v>0</v>
      </c>
      <c r="AW474" s="1973">
        <f t="shared" si="270"/>
        <v>0</v>
      </c>
      <c r="AX474" s="197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3">
        <f t="shared" si="269"/>
        <v>0</v>
      </c>
      <c r="AW475" s="1973">
        <f t="shared" si="270"/>
        <v>0</v>
      </c>
      <c r="AX475" s="197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3">
        <f t="shared" si="269"/>
        <v>0</v>
      </c>
      <c r="AW476" s="1973">
        <f t="shared" si="270"/>
        <v>0</v>
      </c>
      <c r="AX476" s="197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3">
        <f t="shared" si="269"/>
        <v>0</v>
      </c>
      <c r="AW477" s="1973">
        <f t="shared" si="270"/>
        <v>0</v>
      </c>
      <c r="AX477" s="197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3">
        <f t="shared" si="269"/>
        <v>0</v>
      </c>
      <c r="AW478" s="1973">
        <f t="shared" si="270"/>
        <v>0</v>
      </c>
      <c r="AX478" s="197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3">
        <f t="shared" si="269"/>
        <v>0</v>
      </c>
      <c r="AW479" s="1973">
        <f t="shared" si="270"/>
        <v>0</v>
      </c>
      <c r="AX479" s="197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3">
        <f t="shared" si="269"/>
        <v>0</v>
      </c>
      <c r="AW480" s="1973">
        <f t="shared" si="270"/>
        <v>0</v>
      </c>
      <c r="AX480" s="197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9"/>
      <c r="AO481" s="92"/>
      <c r="AP481" s="92"/>
      <c r="AQ481" s="92"/>
      <c r="AR481" s="92"/>
      <c r="AS481" s="92"/>
      <c r="AT481" s="93"/>
      <c r="AU481" s="94"/>
      <c r="AV481" s="987">
        <f t="shared" ref="AV481:AV505" si="320">A481</f>
        <v>0</v>
      </c>
      <c r="AW481" s="987">
        <f t="shared" ref="AW481:AW505" si="321">B481</f>
        <v>0</v>
      </c>
      <c r="AX481" s="987">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2"/>
      <c r="AG482" s="92"/>
      <c r="AH482" s="92"/>
      <c r="AI482" s="92"/>
      <c r="AJ482" s="92"/>
      <c r="AK482" s="92"/>
      <c r="AL482" s="1359"/>
      <c r="AM482" s="92"/>
      <c r="AN482" s="1359"/>
      <c r="AO482" s="92"/>
      <c r="AP482" s="92"/>
      <c r="AQ482" s="92"/>
      <c r="AR482" s="92"/>
      <c r="AS482" s="92"/>
      <c r="AT482" s="93"/>
      <c r="AU482" s="94"/>
      <c r="AV482" s="987">
        <f t="shared" si="320"/>
        <v>0</v>
      </c>
      <c r="AW482" s="987">
        <f t="shared" si="321"/>
        <v>0</v>
      </c>
      <c r="AX482" s="987">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9"/>
      <c r="AM483" s="92"/>
      <c r="AN483" s="1359"/>
      <c r="AO483" s="92"/>
      <c r="AP483" s="92"/>
      <c r="AQ483" s="92"/>
      <c r="AR483" s="92"/>
      <c r="AS483" s="92"/>
      <c r="AT483" s="93"/>
      <c r="AU483" s="94"/>
      <c r="AV483" s="987">
        <f t="shared" si="320"/>
        <v>0</v>
      </c>
      <c r="AW483" s="987">
        <f t="shared" si="321"/>
        <v>0</v>
      </c>
      <c r="AX483" s="987">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9"/>
      <c r="AO484" s="92"/>
      <c r="AP484" s="92"/>
      <c r="AQ484" s="92"/>
      <c r="AR484" s="92"/>
      <c r="AS484" s="92"/>
      <c r="AT484" s="93"/>
      <c r="AU484" s="94"/>
      <c r="AV484" s="987">
        <f t="shared" si="320"/>
        <v>0</v>
      </c>
      <c r="AW484" s="987">
        <f t="shared" si="321"/>
        <v>0</v>
      </c>
      <c r="AX484" s="987">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87">
        <f t="shared" si="320"/>
        <v>0</v>
      </c>
      <c r="AW485" s="987">
        <f t="shared" si="321"/>
        <v>0</v>
      </c>
      <c r="AX485" s="987">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87">
        <f t="shared" si="320"/>
        <v>0</v>
      </c>
      <c r="AW486" s="987">
        <f t="shared" si="321"/>
        <v>0</v>
      </c>
      <c r="AX486" s="987">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87">
        <f t="shared" si="320"/>
        <v>0</v>
      </c>
      <c r="AW487" s="987">
        <f t="shared" si="321"/>
        <v>0</v>
      </c>
      <c r="AX487" s="987">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87">
        <f t="shared" si="320"/>
        <v>0</v>
      </c>
      <c r="AW488" s="987">
        <f t="shared" si="321"/>
        <v>0</v>
      </c>
      <c r="AX488" s="987">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87">
        <f t="shared" si="320"/>
        <v>0</v>
      </c>
      <c r="AW489" s="987">
        <f t="shared" si="321"/>
        <v>0</v>
      </c>
      <c r="AX489" s="987">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87">
        <f t="shared" si="320"/>
        <v>0</v>
      </c>
      <c r="AW490" s="987">
        <f t="shared" si="321"/>
        <v>0</v>
      </c>
      <c r="AX490" s="987">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87">
        <f t="shared" si="320"/>
        <v>0</v>
      </c>
      <c r="AW491" s="987">
        <f t="shared" si="321"/>
        <v>0</v>
      </c>
      <c r="AX491" s="987">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87">
        <f t="shared" si="320"/>
        <v>0</v>
      </c>
      <c r="AW492" s="987">
        <f t="shared" si="321"/>
        <v>0</v>
      </c>
      <c r="AX492" s="987">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87">
        <f t="shared" si="320"/>
        <v>0</v>
      </c>
      <c r="AW493" s="987">
        <f t="shared" si="321"/>
        <v>0</v>
      </c>
      <c r="AX493" s="987">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87">
        <f t="shared" si="320"/>
        <v>0</v>
      </c>
      <c r="AW494" s="987">
        <f t="shared" si="321"/>
        <v>0</v>
      </c>
      <c r="AX494" s="987">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87">
        <f t="shared" si="320"/>
        <v>0</v>
      </c>
      <c r="AW495" s="987">
        <f t="shared" si="321"/>
        <v>0</v>
      </c>
      <c r="AX495" s="987">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87">
        <f t="shared" si="320"/>
        <v>0</v>
      </c>
      <c r="AW496" s="987">
        <f t="shared" si="321"/>
        <v>0</v>
      </c>
      <c r="AX496" s="987">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87">
        <f t="shared" si="320"/>
        <v>0</v>
      </c>
      <c r="AW497" s="987">
        <f t="shared" si="321"/>
        <v>0</v>
      </c>
      <c r="AX497" s="987">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87">
        <f t="shared" si="320"/>
        <v>0</v>
      </c>
      <c r="AW498" s="987">
        <f t="shared" si="321"/>
        <v>0</v>
      </c>
      <c r="AX498" s="987">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87">
        <f t="shared" si="320"/>
        <v>0</v>
      </c>
      <c r="AW499" s="987">
        <f t="shared" si="321"/>
        <v>0</v>
      </c>
      <c r="AX499" s="987">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87">
        <f t="shared" si="320"/>
        <v>0</v>
      </c>
      <c r="AW500" s="987">
        <f t="shared" si="321"/>
        <v>0</v>
      </c>
      <c r="AX500" s="987">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87">
        <f t="shared" si="320"/>
        <v>0</v>
      </c>
      <c r="AW501" s="987">
        <f t="shared" si="321"/>
        <v>0</v>
      </c>
      <c r="AX501" s="987">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87">
        <f t="shared" si="320"/>
        <v>0</v>
      </c>
      <c r="AW502" s="987">
        <f t="shared" si="321"/>
        <v>0</v>
      </c>
      <c r="AX502" s="987">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87">
        <f t="shared" si="320"/>
        <v>0</v>
      </c>
      <c r="AW503" s="987">
        <f t="shared" si="321"/>
        <v>0</v>
      </c>
      <c r="AX503" s="987">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87">
        <f t="shared" si="320"/>
        <v>0</v>
      </c>
      <c r="AW504" s="987">
        <f t="shared" si="321"/>
        <v>0</v>
      </c>
      <c r="AX504" s="987">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87">
        <f t="shared" si="320"/>
        <v>0</v>
      </c>
      <c r="AW505" s="987">
        <f t="shared" si="321"/>
        <v>0</v>
      </c>
      <c r="AX505" s="987">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87">
        <f t="shared" ref="AV506:AV537" si="324">A506</f>
        <v>0</v>
      </c>
      <c r="AW506" s="987">
        <f t="shared" ref="AW506:AW537" si="325">B506</f>
        <v>0</v>
      </c>
      <c r="AX506" s="987">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87">
        <f t="shared" si="324"/>
        <v>0</v>
      </c>
      <c r="AW507" s="987">
        <f t="shared" si="325"/>
        <v>0</v>
      </c>
      <c r="AX507" s="987">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87">
        <f t="shared" si="324"/>
        <v>0</v>
      </c>
      <c r="AW508" s="987">
        <f t="shared" si="325"/>
        <v>0</v>
      </c>
      <c r="AX508" s="987">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87">
        <f t="shared" si="324"/>
        <v>0</v>
      </c>
      <c r="AW509" s="987">
        <f t="shared" si="325"/>
        <v>0</v>
      </c>
      <c r="AX509" s="987">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87">
        <f t="shared" si="324"/>
        <v>0</v>
      </c>
      <c r="AW510" s="987">
        <f t="shared" si="325"/>
        <v>0</v>
      </c>
      <c r="AX510" s="987">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87">
        <f t="shared" si="324"/>
        <v>0</v>
      </c>
      <c r="AW511" s="987">
        <f t="shared" si="325"/>
        <v>0</v>
      </c>
      <c r="AX511" s="987">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87">
        <f t="shared" si="324"/>
        <v>0</v>
      </c>
      <c r="AW512" s="987">
        <f t="shared" si="325"/>
        <v>0</v>
      </c>
      <c r="AX512" s="987">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87">
        <f t="shared" si="324"/>
        <v>0</v>
      </c>
      <c r="AW513" s="987">
        <f t="shared" si="325"/>
        <v>0</v>
      </c>
      <c r="AX513" s="987">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87">
        <f t="shared" si="324"/>
        <v>0</v>
      </c>
      <c r="AW514" s="987">
        <f t="shared" si="325"/>
        <v>0</v>
      </c>
      <c r="AX514" s="987">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87">
        <f t="shared" si="324"/>
        <v>0</v>
      </c>
      <c r="AW515" s="987">
        <f t="shared" si="325"/>
        <v>0</v>
      </c>
      <c r="AX515" s="987">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7">
        <f t="shared" si="324"/>
        <v>0</v>
      </c>
      <c r="AW516" s="987">
        <f t="shared" si="325"/>
        <v>0</v>
      </c>
      <c r="AX516" s="987">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7">
        <f t="shared" si="324"/>
        <v>0</v>
      </c>
      <c r="AW517" s="987">
        <f t="shared" si="325"/>
        <v>0</v>
      </c>
      <c r="AX517" s="987">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7">
        <f t="shared" si="324"/>
        <v>0</v>
      </c>
      <c r="AW518" s="987">
        <f t="shared" si="325"/>
        <v>0</v>
      </c>
      <c r="AX518" s="987">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7">
        <f t="shared" si="324"/>
        <v>0</v>
      </c>
      <c r="AW519" s="987">
        <f t="shared" si="325"/>
        <v>0</v>
      </c>
      <c r="AX519" s="987">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7">
        <f t="shared" si="324"/>
        <v>0</v>
      </c>
      <c r="AW520" s="987">
        <f t="shared" si="325"/>
        <v>0</v>
      </c>
      <c r="AX520" s="987">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7">
        <f t="shared" si="324"/>
        <v>0</v>
      </c>
      <c r="AW521" s="987">
        <f t="shared" si="325"/>
        <v>0</v>
      </c>
      <c r="AX521" s="987">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7">
        <f t="shared" si="324"/>
        <v>0</v>
      </c>
      <c r="AW522" s="987">
        <f t="shared" si="325"/>
        <v>0</v>
      </c>
      <c r="AX522" s="987">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7">
        <f t="shared" si="324"/>
        <v>0</v>
      </c>
      <c r="AW523" s="987">
        <f t="shared" si="325"/>
        <v>0</v>
      </c>
      <c r="AX523" s="987">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7">
        <f t="shared" si="324"/>
        <v>0</v>
      </c>
      <c r="AW524" s="987">
        <f t="shared" si="325"/>
        <v>0</v>
      </c>
      <c r="AX524" s="987">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7">
        <f t="shared" si="324"/>
        <v>0</v>
      </c>
      <c r="AW525" s="987">
        <f t="shared" si="325"/>
        <v>0</v>
      </c>
      <c r="AX525" s="987">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7">
        <f t="shared" si="324"/>
        <v>0</v>
      </c>
      <c r="AW526" s="987">
        <f t="shared" si="325"/>
        <v>0</v>
      </c>
      <c r="AX526" s="987">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7">
        <f t="shared" si="324"/>
        <v>0</v>
      </c>
      <c r="AW527" s="987">
        <f t="shared" si="325"/>
        <v>0</v>
      </c>
      <c r="AX527" s="987">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7">
        <f t="shared" si="324"/>
        <v>0</v>
      </c>
      <c r="AW528" s="987">
        <f t="shared" si="325"/>
        <v>0</v>
      </c>
      <c r="AX528" s="987">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7">
        <f t="shared" si="324"/>
        <v>0</v>
      </c>
      <c r="AW529" s="987">
        <f t="shared" si="325"/>
        <v>0</v>
      </c>
      <c r="AX529" s="987">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7">
        <f t="shared" si="324"/>
        <v>0</v>
      </c>
      <c r="AW530" s="987">
        <f t="shared" si="325"/>
        <v>0</v>
      </c>
      <c r="AX530" s="987">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7">
        <f t="shared" si="324"/>
        <v>0</v>
      </c>
      <c r="AW531" s="987">
        <f t="shared" si="325"/>
        <v>0</v>
      </c>
      <c r="AX531" s="987">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7">
        <f t="shared" si="324"/>
        <v>0</v>
      </c>
      <c r="AW532" s="987">
        <f t="shared" si="325"/>
        <v>0</v>
      </c>
      <c r="AX532" s="987">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7">
        <f t="shared" si="324"/>
        <v>0</v>
      </c>
      <c r="AW533" s="987">
        <f t="shared" si="325"/>
        <v>0</v>
      </c>
      <c r="AX533" s="987">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7">
        <f t="shared" si="324"/>
        <v>0</v>
      </c>
      <c r="AW534" s="987">
        <f t="shared" si="325"/>
        <v>0</v>
      </c>
      <c r="AX534" s="987">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7">
        <f t="shared" si="324"/>
        <v>0</v>
      </c>
      <c r="AW535" s="987">
        <f t="shared" si="325"/>
        <v>0</v>
      </c>
      <c r="AX535" s="987">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7">
        <f t="shared" si="324"/>
        <v>0</v>
      </c>
      <c r="AW536" s="987">
        <f t="shared" si="325"/>
        <v>0</v>
      </c>
      <c r="AX536" s="987">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7">
        <f t="shared" si="324"/>
        <v>0</v>
      </c>
      <c r="AW537" s="987">
        <f t="shared" si="325"/>
        <v>0</v>
      </c>
      <c r="AX537" s="987">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7">
        <f t="shared" ref="AV538:AV572" si="356">A538</f>
        <v>0</v>
      </c>
      <c r="AW538" s="987">
        <f t="shared" ref="AW538:AW572" si="357">B538</f>
        <v>0</v>
      </c>
      <c r="AX538" s="987">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7">
        <f t="shared" si="356"/>
        <v>0</v>
      </c>
      <c r="AW539" s="987">
        <f t="shared" si="357"/>
        <v>0</v>
      </c>
      <c r="AX539" s="987">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7">
        <f t="shared" si="356"/>
        <v>0</v>
      </c>
      <c r="AW540" s="987">
        <f t="shared" si="357"/>
        <v>0</v>
      </c>
      <c r="AX540" s="987">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7">
        <f t="shared" si="356"/>
        <v>0</v>
      </c>
      <c r="AW541" s="987">
        <f t="shared" si="357"/>
        <v>0</v>
      </c>
      <c r="AX541" s="987">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7">
        <f t="shared" si="356"/>
        <v>0</v>
      </c>
      <c r="AW542" s="987">
        <f t="shared" si="357"/>
        <v>0</v>
      </c>
      <c r="AX542" s="987">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7">
        <f t="shared" si="356"/>
        <v>0</v>
      </c>
      <c r="AW543" s="987">
        <f t="shared" si="357"/>
        <v>0</v>
      </c>
      <c r="AX543" s="987">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7">
        <f t="shared" si="356"/>
        <v>0</v>
      </c>
      <c r="AW544" s="987">
        <f t="shared" si="357"/>
        <v>0</v>
      </c>
      <c r="AX544" s="987">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7">
        <f t="shared" si="356"/>
        <v>0</v>
      </c>
      <c r="AW545" s="987">
        <f t="shared" si="357"/>
        <v>0</v>
      </c>
      <c r="AX545" s="987">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7">
        <f t="shared" si="356"/>
        <v>0</v>
      </c>
      <c r="AW546" s="987">
        <f t="shared" si="357"/>
        <v>0</v>
      </c>
      <c r="AX546" s="987">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7">
        <f t="shared" si="356"/>
        <v>0</v>
      </c>
      <c r="AW547" s="987">
        <f t="shared" si="357"/>
        <v>0</v>
      </c>
      <c r="AX547" s="987">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7">
        <f t="shared" si="356"/>
        <v>0</v>
      </c>
      <c r="AW548" s="987">
        <f t="shared" si="357"/>
        <v>0</v>
      </c>
      <c r="AX548" s="987">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7">
        <f t="shared" si="356"/>
        <v>0</v>
      </c>
      <c r="AW549" s="987">
        <f t="shared" si="357"/>
        <v>0</v>
      </c>
      <c r="AX549" s="987">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7">
        <f t="shared" si="356"/>
        <v>0</v>
      </c>
      <c r="AW550" s="987">
        <f t="shared" si="357"/>
        <v>0</v>
      </c>
      <c r="AX550" s="987">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7">
        <f t="shared" si="356"/>
        <v>0</v>
      </c>
      <c r="AW551" s="987">
        <f t="shared" si="357"/>
        <v>0</v>
      </c>
      <c r="AX551" s="987">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7">
        <f t="shared" si="356"/>
        <v>0</v>
      </c>
      <c r="AW552" s="987">
        <f t="shared" si="357"/>
        <v>0</v>
      </c>
      <c r="AX552" s="987">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7">
        <f t="shared" si="356"/>
        <v>0</v>
      </c>
      <c r="AW553" s="987">
        <f t="shared" si="357"/>
        <v>0</v>
      </c>
      <c r="AX553" s="987">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7">
        <f t="shared" si="356"/>
        <v>0</v>
      </c>
      <c r="AW554" s="987">
        <f t="shared" si="357"/>
        <v>0</v>
      </c>
      <c r="AX554" s="987">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7">
        <f t="shared" si="356"/>
        <v>0</v>
      </c>
      <c r="AW555" s="987">
        <f t="shared" si="357"/>
        <v>0</v>
      </c>
      <c r="AX555" s="987">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7">
        <f t="shared" si="356"/>
        <v>0</v>
      </c>
      <c r="AW556" s="987">
        <f t="shared" si="357"/>
        <v>0</v>
      </c>
      <c r="AX556" s="987">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7">
        <f t="shared" si="356"/>
        <v>0</v>
      </c>
      <c r="AW557" s="987">
        <f t="shared" si="357"/>
        <v>0</v>
      </c>
      <c r="AX557" s="987">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7">
        <f t="shared" si="356"/>
        <v>0</v>
      </c>
      <c r="AW558" s="987">
        <f t="shared" si="357"/>
        <v>0</v>
      </c>
      <c r="AX558" s="987">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7">
        <f t="shared" si="356"/>
        <v>0</v>
      </c>
      <c r="AW559" s="987">
        <f t="shared" si="357"/>
        <v>0</v>
      </c>
      <c r="AX559" s="987">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7">
        <f t="shared" si="356"/>
        <v>0</v>
      </c>
      <c r="AW560" s="987">
        <f t="shared" si="357"/>
        <v>0</v>
      </c>
      <c r="AX560" s="987">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7">
        <f t="shared" si="356"/>
        <v>0</v>
      </c>
      <c r="AW561" s="987">
        <f t="shared" si="357"/>
        <v>0</v>
      </c>
      <c r="AX561" s="987">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7">
        <f t="shared" si="356"/>
        <v>0</v>
      </c>
      <c r="AW562" s="987">
        <f t="shared" si="357"/>
        <v>0</v>
      </c>
      <c r="AX562" s="987">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7">
        <f t="shared" si="356"/>
        <v>0</v>
      </c>
      <c r="AW563" s="987">
        <f t="shared" si="357"/>
        <v>0</v>
      </c>
      <c r="AX563" s="987">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7">
        <f t="shared" si="356"/>
        <v>0</v>
      </c>
      <c r="AW564" s="987">
        <f t="shared" si="357"/>
        <v>0</v>
      </c>
      <c r="AX564" s="987">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7">
        <f t="shared" si="356"/>
        <v>0</v>
      </c>
      <c r="AW565" s="987">
        <f t="shared" si="357"/>
        <v>0</v>
      </c>
      <c r="AX565" s="987">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7">
        <f t="shared" si="356"/>
        <v>0</v>
      </c>
      <c r="AW566" s="987">
        <f t="shared" si="357"/>
        <v>0</v>
      </c>
      <c r="AX566" s="987">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7">
        <f t="shared" si="356"/>
        <v>0</v>
      </c>
      <c r="AW567" s="987">
        <f t="shared" si="357"/>
        <v>0</v>
      </c>
      <c r="AX567" s="987">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7">
        <f t="shared" si="356"/>
        <v>0</v>
      </c>
      <c r="AW568" s="987">
        <f t="shared" si="357"/>
        <v>0</v>
      </c>
      <c r="AX568" s="987">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7">
        <f t="shared" si="356"/>
        <v>0</v>
      </c>
      <c r="AW569" s="987">
        <f t="shared" si="357"/>
        <v>0</v>
      </c>
      <c r="AX569" s="987">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7">
        <f t="shared" si="356"/>
        <v>0</v>
      </c>
      <c r="AW570" s="987">
        <f t="shared" si="357"/>
        <v>0</v>
      </c>
      <c r="AX570" s="987">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7">
        <f t="shared" si="356"/>
        <v>0</v>
      </c>
      <c r="AW571" s="987">
        <f t="shared" si="357"/>
        <v>0</v>
      </c>
      <c r="AX571" s="987">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7">
        <f t="shared" si="356"/>
        <v>0</v>
      </c>
      <c r="AW572" s="987">
        <f t="shared" si="357"/>
        <v>0</v>
      </c>
      <c r="AX572" s="987">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36" t="s">
        <v>0</v>
      </c>
      <c r="B1" s="3336" t="s">
        <v>4</v>
      </c>
      <c r="C1" s="3336" t="s">
        <v>5</v>
      </c>
      <c r="D1" s="3337" t="s">
        <v>40</v>
      </c>
      <c r="E1" s="3337" t="s">
        <v>41</v>
      </c>
      <c r="F1" s="3337"/>
      <c r="G1" s="3337"/>
      <c r="H1" s="3337"/>
      <c r="I1" s="3337"/>
      <c r="J1" s="3337"/>
      <c r="K1" s="3337"/>
      <c r="L1" s="3337"/>
      <c r="M1" s="3337"/>
    </row>
    <row r="2" spans="1:13" ht="27" customHeight="1">
      <c r="A2" s="3336"/>
      <c r="B2" s="3336"/>
      <c r="C2" s="3336"/>
      <c r="D2" s="3337"/>
      <c r="E2" s="3337" t="s">
        <v>24</v>
      </c>
      <c r="F2" s="3337" t="s">
        <v>25</v>
      </c>
      <c r="G2" s="3337"/>
      <c r="H2" s="3337"/>
      <c r="I2" s="3337"/>
      <c r="J2" s="3337" t="s">
        <v>26</v>
      </c>
      <c r="K2" s="3337"/>
      <c r="L2" s="3337"/>
      <c r="M2" s="3337"/>
    </row>
    <row r="3" spans="1:13" ht="28.5">
      <c r="A3" s="3336"/>
      <c r="B3" s="3336"/>
      <c r="C3" s="3336"/>
      <c r="D3" s="3337"/>
      <c r="E3" s="333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37" t="s">
        <v>42</v>
      </c>
      <c r="B9" s="3337"/>
      <c r="C9" s="333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7"/>
  <sheetViews>
    <sheetView zoomScale="90" zoomScaleNormal="90" zoomScaleSheetLayoutView="90" workbookViewId="0">
      <selection activeCell="I7" sqref="I7"/>
    </sheetView>
  </sheetViews>
  <sheetFormatPr defaultColWidth="9.25" defaultRowHeight="14.25"/>
  <cols>
    <col min="1" max="1" width="8.25" style="1979" customWidth="1"/>
    <col min="2" max="2" width="10.25" style="1979" customWidth="1"/>
    <col min="3" max="3" width="18.5" style="1979" customWidth="1"/>
    <col min="4" max="4" width="11.125" style="1979" customWidth="1"/>
    <col min="5" max="5" width="13.375" style="1979" customWidth="1"/>
    <col min="6" max="6" width="15" style="1979" customWidth="1"/>
    <col min="7" max="8" width="11.5" style="1979" customWidth="1"/>
    <col min="9" max="9" width="12.875" style="1979" customWidth="1"/>
    <col min="10" max="10" width="3.125" style="1979" customWidth="1"/>
    <col min="11" max="16" width="11.625" style="1979" customWidth="1"/>
    <col min="17" max="17" width="3.375" style="1979" customWidth="1"/>
    <col min="18" max="16384" width="9.25" style="1979"/>
  </cols>
  <sheetData>
    <row r="1" spans="1:16" ht="18.75">
      <c r="A1" s="104" t="s">
        <v>195</v>
      </c>
      <c r="B1" s="1978"/>
      <c r="C1" s="1978"/>
      <c r="D1" s="1978"/>
      <c r="E1" s="1978"/>
      <c r="F1" s="1978"/>
      <c r="G1" s="1978"/>
      <c r="H1" s="1978"/>
      <c r="I1" s="1978"/>
      <c r="J1" s="1978"/>
      <c r="K1" s="1978"/>
      <c r="L1" s="1978"/>
    </row>
    <row r="2" spans="1:16" ht="15">
      <c r="A2" s="3362" t="s">
        <v>196</v>
      </c>
      <c r="B2" s="3362"/>
      <c r="C2" s="3362"/>
      <c r="D2" s="1969" t="s">
        <v>197</v>
      </c>
      <c r="E2" s="106" t="s">
        <v>198</v>
      </c>
      <c r="F2" s="1978"/>
      <c r="G2" s="1193"/>
      <c r="H2" s="1194"/>
      <c r="I2" s="1195" t="s">
        <v>850</v>
      </c>
      <c r="J2" s="1978"/>
      <c r="K2" s="1978"/>
      <c r="L2" s="1978"/>
    </row>
    <row r="3" spans="1:16" ht="15.75" thickBot="1">
      <c r="A3" s="3363" t="s">
        <v>199</v>
      </c>
      <c r="B3" s="3363"/>
      <c r="C3" s="3363"/>
      <c r="D3" s="107">
        <f>'数据-基础表'!AY6</f>
        <v>121315.1</v>
      </c>
      <c r="E3" s="107">
        <f>'数据-基础表'!AZ5</f>
        <v>412759.99</v>
      </c>
      <c r="F3" s="1978"/>
      <c r="G3" s="275" t="s">
        <v>851</v>
      </c>
      <c r="H3" s="270" t="s">
        <v>852</v>
      </c>
      <c r="I3" s="1970">
        <f>ROUND('数据-基础表'!B3/'数据-基础表'!A3,2)</f>
        <v>3.4</v>
      </c>
      <c r="J3" s="1978"/>
      <c r="K3" s="1978"/>
      <c r="L3" s="1978"/>
    </row>
    <row r="4" spans="1:16" ht="15">
      <c r="A4" s="3364"/>
      <c r="B4" s="3365"/>
      <c r="C4" s="3366"/>
      <c r="D4" s="108" t="s">
        <v>197</v>
      </c>
      <c r="E4" s="109" t="s">
        <v>198</v>
      </c>
      <c r="F4" s="1978"/>
      <c r="G4" s="1196"/>
      <c r="H4" s="270" t="s">
        <v>853</v>
      </c>
      <c r="I4" s="1970">
        <f>ROUND(SUMIF('数据-基础表'!I9:AS9,"地上",'数据-基础表'!I5:AS5)/'数据-基础表'!A3,2)</f>
        <v>2.3199999999999998</v>
      </c>
      <c r="J4" s="1978"/>
      <c r="K4" s="1978"/>
      <c r="L4" s="1978"/>
    </row>
    <row r="5" spans="1:16">
      <c r="A5" s="110" t="s">
        <v>200</v>
      </c>
      <c r="B5" s="3367" t="s">
        <v>223</v>
      </c>
      <c r="C5" s="3367"/>
      <c r="D5" s="111">
        <f>ROUND($D$3*E5/$E$3,2)</f>
        <v>46777.26</v>
      </c>
      <c r="E5" s="112">
        <f>SUMIF('数据-基础表'!$11:$11,"住宅",'数据-基础表'!$5:$5)</f>
        <v>159154</v>
      </c>
      <c r="F5" s="1978"/>
      <c r="G5" s="275" t="s">
        <v>854</v>
      </c>
      <c r="H5" s="270" t="s">
        <v>852</v>
      </c>
      <c r="I5" s="1970">
        <f>ROUND(E31/D31,2)</f>
        <v>3.4</v>
      </c>
      <c r="J5" s="1978"/>
      <c r="K5" s="1978"/>
      <c r="L5" s="1978"/>
    </row>
    <row r="6" spans="1:16" ht="15" thickBot="1">
      <c r="A6" s="113"/>
      <c r="B6" s="3367" t="s">
        <v>201</v>
      </c>
      <c r="C6" s="3367"/>
      <c r="D6" s="111">
        <f>ROUND($D$3*E6/$E$3,2)</f>
        <v>74537.84</v>
      </c>
      <c r="E6" s="112">
        <f>E3-E5</f>
        <v>253605.99</v>
      </c>
      <c r="F6" s="1978"/>
      <c r="G6" s="1196"/>
      <c r="H6" s="270" t="s">
        <v>853</v>
      </c>
      <c r="I6" s="1970">
        <f>ROUND(F31/D31,2)</f>
        <v>2.3199999999999998</v>
      </c>
      <c r="J6" s="1978"/>
      <c r="K6" s="1978"/>
      <c r="L6" s="1978"/>
    </row>
    <row r="7" spans="1:16" ht="15">
      <c r="A7" s="3359"/>
      <c r="B7" s="3360"/>
      <c r="C7" s="3361"/>
      <c r="D7" s="108" t="s">
        <v>197</v>
      </c>
      <c r="E7" s="114" t="s">
        <v>224</v>
      </c>
      <c r="F7" s="1978"/>
      <c r="G7" s="1151" t="s">
        <v>1639</v>
      </c>
      <c r="H7" s="1152"/>
      <c r="I7" s="1840">
        <f>I6</f>
        <v>2.3199999999999998</v>
      </c>
      <c r="J7" s="1978"/>
      <c r="K7" s="1978"/>
      <c r="L7" s="1978"/>
    </row>
    <row r="8" spans="1:16">
      <c r="A8" s="110" t="s">
        <v>202</v>
      </c>
      <c r="B8" s="115" t="s">
        <v>203</v>
      </c>
      <c r="C8" s="111" t="s">
        <v>204</v>
      </c>
      <c r="D8" s="111">
        <f t="shared" ref="D8:D15" si="0">ROUND($D$3*E8/$E$3,2)</f>
        <v>80885.75</v>
      </c>
      <c r="E8" s="116">
        <f>SUMIF('数据-基础表'!BB10:BK10,"地上",'数据-基础表'!BB5:BK5)</f>
        <v>275204</v>
      </c>
      <c r="F8" s="1978"/>
      <c r="G8" s="1980"/>
      <c r="H8" s="1980"/>
      <c r="I8" s="1978"/>
      <c r="J8" s="1978"/>
      <c r="K8" s="1978"/>
      <c r="L8" s="1978"/>
    </row>
    <row r="9" spans="1:16">
      <c r="A9" s="117"/>
      <c r="B9" s="118"/>
      <c r="C9" s="111" t="s">
        <v>205</v>
      </c>
      <c r="D9" s="111">
        <f t="shared" si="0"/>
        <v>0</v>
      </c>
      <c r="E9" s="119">
        <v>0</v>
      </c>
      <c r="F9" s="1978"/>
      <c r="G9" s="1980"/>
      <c r="H9" s="1980"/>
      <c r="I9" s="1978"/>
      <c r="J9" s="1978"/>
      <c r="K9" s="1978"/>
      <c r="L9" s="1978"/>
    </row>
    <row r="10" spans="1:16">
      <c r="A10" s="117"/>
      <c r="B10" s="118"/>
      <c r="C10" s="111" t="s">
        <v>206</v>
      </c>
      <c r="D10" s="111">
        <f t="shared" si="0"/>
        <v>0</v>
      </c>
      <c r="E10" s="116">
        <f>SUMPRODUCT(('数据-基础表'!BB10:BK10="地下")*('数据-基础表'!BB11:BK11="商业")*('数据-基础表'!BB5:BK5))</f>
        <v>0</v>
      </c>
      <c r="F10" s="1978"/>
      <c r="G10" s="1980"/>
      <c r="H10" s="1980"/>
      <c r="I10" s="1978"/>
      <c r="J10" s="1978"/>
      <c r="K10" s="1978"/>
      <c r="L10" s="1978"/>
    </row>
    <row r="11" spans="1:16">
      <c r="A11" s="117"/>
      <c r="B11" s="118"/>
      <c r="C11" s="2325" t="s">
        <v>2321</v>
      </c>
      <c r="D11" s="111">
        <f t="shared" si="0"/>
        <v>0</v>
      </c>
      <c r="E11" s="116">
        <f>SUMPRODUCT(('数据-基础表'!BB10:BK10="地下")*('数据-基础表'!BB11:BK11="办公")*('数据-基础表'!BB5:BK5))+'数据-基础表'!AJ5</f>
        <v>0</v>
      </c>
      <c r="F11" s="1978"/>
      <c r="G11" s="1980"/>
      <c r="H11" s="1980"/>
      <c r="I11" s="1978"/>
      <c r="J11" s="1978"/>
      <c r="K11" s="1978"/>
      <c r="L11" s="1978"/>
    </row>
    <row r="12" spans="1:16">
      <c r="A12" s="117"/>
      <c r="B12" s="118"/>
      <c r="C12" s="111" t="s">
        <v>207</v>
      </c>
      <c r="D12" s="111">
        <f t="shared" si="0"/>
        <v>0</v>
      </c>
      <c r="E12" s="116">
        <f>SUMPRODUCT(('数据-基础表'!BB10:BK10="地下")*('数据-基础表'!BB11:BK11="仓储")*('数据-基础表'!BB5:BK5))</f>
        <v>0</v>
      </c>
      <c r="F12" s="1978"/>
      <c r="G12" s="1980"/>
      <c r="H12" s="1980"/>
      <c r="I12" s="1978"/>
      <c r="J12" s="1978"/>
      <c r="K12" s="1978"/>
      <c r="L12" s="1978"/>
    </row>
    <row r="13" spans="1:16">
      <c r="A13" s="117"/>
      <c r="B13" s="118"/>
      <c r="C13" s="2325" t="s">
        <v>2328</v>
      </c>
      <c r="D13" s="111">
        <f t="shared" si="0"/>
        <v>26587.05</v>
      </c>
      <c r="E13" s="116">
        <f>SUMPRODUCT(('数据-基础表'!BB10:BK10="地下")*('数据-基础表'!BB11:BK11="车库")*('数据-基础表'!BB5:BK5))</f>
        <v>90459.22</v>
      </c>
      <c r="F13" s="1978"/>
      <c r="G13" s="1980"/>
      <c r="H13" s="1980"/>
      <c r="I13" s="1978"/>
      <c r="J13" s="1978"/>
      <c r="K13" s="1978"/>
      <c r="L13" s="1978"/>
    </row>
    <row r="14" spans="1:16">
      <c r="A14" s="117"/>
      <c r="B14" s="118"/>
      <c r="C14" s="111" t="s">
        <v>225</v>
      </c>
      <c r="D14" s="111">
        <f t="shared" si="0"/>
        <v>0</v>
      </c>
      <c r="E14" s="116">
        <f>SUMPRODUCT(('数据-基础表'!BB10:BK10="地下")*('数据-基础表'!BB11:BK11="车库—商业")*('数据-基础表'!BB5:BK5))</f>
        <v>0</v>
      </c>
      <c r="F14" s="1978"/>
      <c r="G14" s="1980"/>
      <c r="H14" s="1980"/>
      <c r="I14" s="1978"/>
      <c r="J14" s="1978"/>
      <c r="K14" s="1978"/>
      <c r="L14" s="1978"/>
    </row>
    <row r="15" spans="1:16" ht="15" thickBot="1">
      <c r="A15" s="117"/>
      <c r="B15" s="118"/>
      <c r="C15" s="111" t="s">
        <v>226</v>
      </c>
      <c r="D15" s="111">
        <f t="shared" si="0"/>
        <v>0</v>
      </c>
      <c r="E15" s="116">
        <f>SUMPRODUCT(('数据-基础表'!BB10:BK10="地下")*('数据-基础表'!BB11:BK11="车库—办公")*('数据-基础表'!BB5:BK5))</f>
        <v>0</v>
      </c>
      <c r="F15" s="1978"/>
      <c r="G15" s="1980"/>
      <c r="H15" s="1980"/>
      <c r="I15" s="1978"/>
      <c r="J15" s="1978"/>
      <c r="K15" s="1978"/>
      <c r="L15" s="1978"/>
    </row>
    <row r="16" spans="1:16" ht="15.75" thickBot="1">
      <c r="A16" s="113"/>
      <c r="B16" s="118"/>
      <c r="C16" s="115" t="s">
        <v>208</v>
      </c>
      <c r="D16" s="115">
        <f>SUM(D8:D15)</f>
        <v>107472.8</v>
      </c>
      <c r="E16" s="120">
        <f>SUM(E8:E15)</f>
        <v>365663.22</v>
      </c>
      <c r="F16" s="1978"/>
      <c r="G16" s="1980"/>
      <c r="H16" s="963" t="s">
        <v>212</v>
      </c>
      <c r="I16" s="964"/>
      <c r="J16" s="1978"/>
      <c r="K16" s="3353" t="s">
        <v>2563</v>
      </c>
      <c r="L16" s="3354"/>
      <c r="M16" s="3354"/>
      <c r="N16" s="3354"/>
      <c r="O16" s="3354"/>
      <c r="P16" s="3355"/>
    </row>
    <row r="17" spans="1:19" ht="15">
      <c r="A17" s="121" t="s">
        <v>209</v>
      </c>
      <c r="B17" s="122" t="s">
        <v>210</v>
      </c>
      <c r="C17" s="2292" t="s">
        <v>2308</v>
      </c>
      <c r="D17" s="108" t="s">
        <v>197</v>
      </c>
      <c r="E17" s="124" t="s">
        <v>198</v>
      </c>
      <c r="F17" s="125"/>
      <c r="G17" s="1360"/>
      <c r="H17" s="965" t="s">
        <v>211</v>
      </c>
      <c r="I17" s="966" t="s">
        <v>2307</v>
      </c>
      <c r="J17" s="1978"/>
      <c r="K17" s="3356" t="s">
        <v>2564</v>
      </c>
      <c r="L17" s="3357"/>
      <c r="M17" s="3358"/>
      <c r="N17" s="3356" t="s">
        <v>2565</v>
      </c>
      <c r="O17" s="3357"/>
      <c r="P17" s="3358"/>
      <c r="R17" s="2293" t="s">
        <v>2306</v>
      </c>
      <c r="S17" s="143"/>
    </row>
    <row r="18" spans="1:19" ht="15">
      <c r="A18" s="117"/>
      <c r="B18" s="128"/>
      <c r="C18" s="129"/>
      <c r="D18" s="2661"/>
      <c r="E18" s="130" t="s">
        <v>213</v>
      </c>
      <c r="F18" s="131" t="s">
        <v>214</v>
      </c>
      <c r="G18" s="1361" t="s">
        <v>215</v>
      </c>
      <c r="H18" s="967" t="s">
        <v>216</v>
      </c>
      <c r="I18" s="968" t="s">
        <v>217</v>
      </c>
      <c r="J18" s="1978"/>
      <c r="K18" s="2623" t="s">
        <v>2566</v>
      </c>
      <c r="L18" s="2624" t="s">
        <v>2567</v>
      </c>
      <c r="M18" s="2625" t="s">
        <v>2568</v>
      </c>
      <c r="N18" s="2623" t="s">
        <v>2566</v>
      </c>
      <c r="O18" s="2624" t="s">
        <v>2567</v>
      </c>
      <c r="P18" s="2625" t="s">
        <v>2568</v>
      </c>
      <c r="R18" s="2294" t="s">
        <v>2304</v>
      </c>
      <c r="S18" s="2294" t="s">
        <v>2305</v>
      </c>
    </row>
    <row r="19" spans="1:19">
      <c r="A19" s="133"/>
      <c r="B19" s="115" t="s">
        <v>218</v>
      </c>
      <c r="C19" s="3044" t="s">
        <v>3197</v>
      </c>
      <c r="D19" s="111">
        <f t="shared" ref="D19:D26" si="1">ROUND($D$3*E19/$E$3,2)</f>
        <v>34786.120000000003</v>
      </c>
      <c r="E19" s="134">
        <f t="shared" ref="E19:E26" si="2">SUM(F19:G19)</f>
        <v>118355.56</v>
      </c>
      <c r="F19" s="135">
        <f>'数据-基础表'!I5</f>
        <v>118355.56</v>
      </c>
      <c r="G19" s="1362"/>
      <c r="H19" s="969">
        <f>ROUND($D$3*I19/$E$3,2)</f>
        <v>5534.72</v>
      </c>
      <c r="I19" s="116">
        <f>IF($I$17="自定义",P19,M19)</f>
        <v>18831.22</v>
      </c>
      <c r="J19" s="1978"/>
      <c r="K19" s="2626">
        <f t="shared" ref="K19:K26" si="3">ROUND(E$28*E19/E$27,2)</f>
        <v>13527.22</v>
      </c>
      <c r="L19" s="270">
        <f t="shared" ref="L19:L26" si="4">ROUND(IF(COUNTIF(C19,"*住宅*")&gt;0,E$29*E19/E$32,0),2)</f>
        <v>5304</v>
      </c>
      <c r="M19" s="2627">
        <f>K19+L19</f>
        <v>18831.22</v>
      </c>
      <c r="N19" s="2628"/>
      <c r="O19" s="2629"/>
      <c r="P19" s="2630">
        <f>N19+O19</f>
        <v>0</v>
      </c>
      <c r="R19" s="270">
        <f t="shared" ref="R19:S26" si="5">D19+H19</f>
        <v>40320.840000000004</v>
      </c>
      <c r="S19" s="2295">
        <f t="shared" si="5"/>
        <v>137186.78</v>
      </c>
    </row>
    <row r="20" spans="1:19">
      <c r="A20" s="138"/>
      <c r="B20" s="115" t="s">
        <v>219</v>
      </c>
      <c r="C20" s="3044" t="s">
        <v>3198</v>
      </c>
      <c r="D20" s="111">
        <f t="shared" si="1"/>
        <v>11991.15</v>
      </c>
      <c r="E20" s="134">
        <f t="shared" si="2"/>
        <v>40798.44</v>
      </c>
      <c r="F20" s="135">
        <f>'数据-基础表'!K5</f>
        <v>40798.44</v>
      </c>
      <c r="G20" s="1362"/>
      <c r="H20" s="969">
        <f t="shared" ref="H20:H26" si="6">ROUND($D$3*I20/$E$3,2)</f>
        <v>1370.51</v>
      </c>
      <c r="I20" s="116">
        <f t="shared" ref="I20:I26" si="7">IF($I$17="自定义",P20,M20)</f>
        <v>4662.9799999999996</v>
      </c>
      <c r="J20" s="1978"/>
      <c r="K20" s="2626">
        <f t="shared" si="3"/>
        <v>4662.9799999999996</v>
      </c>
      <c r="L20" s="270">
        <f t="shared" si="4"/>
        <v>0</v>
      </c>
      <c r="M20" s="2627">
        <f t="shared" ref="M20:M26" si="8">K20+L20</f>
        <v>4662.9799999999996</v>
      </c>
      <c r="N20" s="2628"/>
      <c r="O20" s="2629"/>
      <c r="P20" s="2630">
        <f t="shared" ref="P20:P26" si="9">N20+O20</f>
        <v>0</v>
      </c>
      <c r="R20" s="270">
        <f t="shared" si="5"/>
        <v>13361.66</v>
      </c>
      <c r="S20" s="2295">
        <f t="shared" si="5"/>
        <v>45461.42</v>
      </c>
    </row>
    <row r="21" spans="1:19">
      <c r="A21" s="138"/>
      <c r="B21" s="115" t="s">
        <v>219</v>
      </c>
      <c r="C21" s="3044" t="s">
        <v>3199</v>
      </c>
      <c r="D21" s="111">
        <f t="shared" si="1"/>
        <v>2292.5100000000002</v>
      </c>
      <c r="E21" s="134">
        <f t="shared" si="2"/>
        <v>7800</v>
      </c>
      <c r="F21" s="135">
        <f>'数据-基础表'!M5</f>
        <v>7800</v>
      </c>
      <c r="G21" s="1362"/>
      <c r="H21" s="969">
        <f t="shared" si="6"/>
        <v>262.02</v>
      </c>
      <c r="I21" s="116">
        <f t="shared" si="7"/>
        <v>891.49</v>
      </c>
      <c r="J21" s="1978"/>
      <c r="K21" s="2626">
        <f t="shared" si="3"/>
        <v>891.49</v>
      </c>
      <c r="L21" s="270">
        <f t="shared" si="4"/>
        <v>0</v>
      </c>
      <c r="M21" s="2627">
        <f t="shared" si="8"/>
        <v>891.49</v>
      </c>
      <c r="N21" s="2628"/>
      <c r="O21" s="2629"/>
      <c r="P21" s="2630">
        <f t="shared" si="9"/>
        <v>0</v>
      </c>
      <c r="R21" s="270">
        <f t="shared" si="5"/>
        <v>2554.5300000000002</v>
      </c>
      <c r="S21" s="2295">
        <f t="shared" si="5"/>
        <v>8691.49</v>
      </c>
    </row>
    <row r="22" spans="1:19">
      <c r="A22" s="138"/>
      <c r="B22" s="115" t="s">
        <v>219</v>
      </c>
      <c r="C22" s="3044" t="s">
        <v>3201</v>
      </c>
      <c r="D22" s="111">
        <f t="shared" si="1"/>
        <v>12982.09</v>
      </c>
      <c r="E22" s="134">
        <f t="shared" si="2"/>
        <v>44170</v>
      </c>
      <c r="F22" s="139">
        <f>'数据-基础表'!O5+'数据-基础表'!S15</f>
        <v>44170</v>
      </c>
      <c r="G22" s="1363"/>
      <c r="H22" s="969">
        <f t="shared" si="6"/>
        <v>1483.76</v>
      </c>
      <c r="I22" s="116">
        <f t="shared" si="7"/>
        <v>5048.32</v>
      </c>
      <c r="J22" s="1978"/>
      <c r="K22" s="2626">
        <f t="shared" si="3"/>
        <v>5048.32</v>
      </c>
      <c r="L22" s="270">
        <f t="shared" si="4"/>
        <v>0</v>
      </c>
      <c r="M22" s="2627">
        <f t="shared" si="8"/>
        <v>5048.32</v>
      </c>
      <c r="N22" s="2628"/>
      <c r="O22" s="2629"/>
      <c r="P22" s="2630">
        <f t="shared" si="9"/>
        <v>0</v>
      </c>
      <c r="R22" s="270">
        <f t="shared" si="5"/>
        <v>14465.85</v>
      </c>
      <c r="S22" s="2295">
        <f t="shared" si="5"/>
        <v>49218.32</v>
      </c>
    </row>
    <row r="23" spans="1:19">
      <c r="A23" s="138"/>
      <c r="B23" s="115" t="s">
        <v>219</v>
      </c>
      <c r="C23" s="3044" t="s">
        <v>3200</v>
      </c>
      <c r="D23" s="111">
        <f>ROUND($D$3*E23/$E$3,2)</f>
        <v>18833.88</v>
      </c>
      <c r="E23" s="134">
        <f>SUM(F23:G23)</f>
        <v>64080</v>
      </c>
      <c r="F23" s="139">
        <f>'数据-基础表'!Q5</f>
        <v>64080</v>
      </c>
      <c r="G23" s="1363"/>
      <c r="H23" s="969">
        <f>ROUND($D$3*I23/$E$3,2)</f>
        <v>2152.58</v>
      </c>
      <c r="I23" s="116">
        <f t="shared" si="7"/>
        <v>7323.9</v>
      </c>
      <c r="J23" s="1978"/>
      <c r="K23" s="2626">
        <f t="shared" si="3"/>
        <v>7323.9</v>
      </c>
      <c r="L23" s="270">
        <f t="shared" si="4"/>
        <v>0</v>
      </c>
      <c r="M23" s="2627">
        <f t="shared" si="8"/>
        <v>7323.9</v>
      </c>
      <c r="N23" s="2628"/>
      <c r="O23" s="2629"/>
      <c r="P23" s="2630">
        <f t="shared" si="9"/>
        <v>0</v>
      </c>
      <c r="R23" s="270">
        <f t="shared" si="5"/>
        <v>20986.46</v>
      </c>
      <c r="S23" s="2295">
        <f t="shared" si="5"/>
        <v>71403.899999999994</v>
      </c>
    </row>
    <row r="24" spans="1:19">
      <c r="A24" s="138"/>
      <c r="B24" s="115" t="s">
        <v>219</v>
      </c>
      <c r="C24" s="3044"/>
      <c r="D24" s="111">
        <f>ROUND($D$3*E24/$E$3,2)</f>
        <v>0</v>
      </c>
      <c r="E24" s="134">
        <f>SUM(F24:G24)</f>
        <v>0</v>
      </c>
      <c r="F24" s="139"/>
      <c r="G24" s="1363"/>
      <c r="H24" s="969">
        <f>ROUND($D$3*I24/$E$3,2)</f>
        <v>0</v>
      </c>
      <c r="I24" s="116">
        <f t="shared" si="7"/>
        <v>0</v>
      </c>
      <c r="J24" s="1978"/>
      <c r="K24" s="2626">
        <f t="shared" si="3"/>
        <v>0</v>
      </c>
      <c r="L24" s="270">
        <f t="shared" si="4"/>
        <v>0</v>
      </c>
      <c r="M24" s="2627">
        <f t="shared" si="8"/>
        <v>0</v>
      </c>
      <c r="N24" s="2628"/>
      <c r="O24" s="2629"/>
      <c r="P24" s="2630">
        <f t="shared" si="9"/>
        <v>0</v>
      </c>
      <c r="R24" s="270">
        <f t="shared" si="5"/>
        <v>0</v>
      </c>
      <c r="S24" s="2295">
        <f t="shared" si="5"/>
        <v>0</v>
      </c>
    </row>
    <row r="25" spans="1:19">
      <c r="A25" s="138"/>
      <c r="B25" s="115" t="s">
        <v>219</v>
      </c>
      <c r="C25" s="3206" t="s">
        <v>3202</v>
      </c>
      <c r="D25" s="111">
        <f t="shared" si="1"/>
        <v>26587.05</v>
      </c>
      <c r="E25" s="134">
        <f t="shared" si="2"/>
        <v>90459.22</v>
      </c>
      <c r="F25" s="139"/>
      <c r="G25" s="1363">
        <f>'数据-基础表'!U5</f>
        <v>90459.22</v>
      </c>
      <c r="H25" s="110">
        <f t="shared" si="6"/>
        <v>3038.71</v>
      </c>
      <c r="I25" s="116">
        <f t="shared" si="7"/>
        <v>10338.86</v>
      </c>
      <c r="J25" s="1978"/>
      <c r="K25" s="2626">
        <f t="shared" si="3"/>
        <v>10338.86</v>
      </c>
      <c r="L25" s="270">
        <f t="shared" si="4"/>
        <v>0</v>
      </c>
      <c r="M25" s="2627">
        <f t="shared" si="8"/>
        <v>10338.86</v>
      </c>
      <c r="N25" s="2628"/>
      <c r="O25" s="2629"/>
      <c r="P25" s="2630">
        <f t="shared" si="9"/>
        <v>0</v>
      </c>
      <c r="R25" s="270">
        <f t="shared" si="5"/>
        <v>29625.759999999998</v>
      </c>
      <c r="S25" s="2295">
        <f t="shared" si="5"/>
        <v>100798.08</v>
      </c>
    </row>
    <row r="26" spans="1:19">
      <c r="A26" s="138"/>
      <c r="B26" s="115" t="s">
        <v>219</v>
      </c>
      <c r="C26" s="141"/>
      <c r="D26" s="111">
        <f t="shared" si="1"/>
        <v>0</v>
      </c>
      <c r="E26" s="134">
        <f t="shared" si="2"/>
        <v>0</v>
      </c>
      <c r="F26" s="139"/>
      <c r="G26" s="1363"/>
      <c r="H26" s="110">
        <f t="shared" si="6"/>
        <v>0</v>
      </c>
      <c r="I26" s="116">
        <f t="shared" si="7"/>
        <v>0</v>
      </c>
      <c r="J26" s="1978"/>
      <c r="K26" s="2631">
        <f t="shared" si="3"/>
        <v>0</v>
      </c>
      <c r="L26" s="275">
        <f t="shared" si="4"/>
        <v>0</v>
      </c>
      <c r="M26" s="145">
        <f t="shared" si="8"/>
        <v>0</v>
      </c>
      <c r="N26" s="2632"/>
      <c r="O26" s="2633"/>
      <c r="P26" s="2634">
        <f t="shared" si="9"/>
        <v>0</v>
      </c>
      <c r="R26" s="270">
        <f t="shared" si="5"/>
        <v>0</v>
      </c>
      <c r="S26" s="2295">
        <f t="shared" si="5"/>
        <v>0</v>
      </c>
    </row>
    <row r="27" spans="1:19" ht="15.75" thickBot="1">
      <c r="A27" s="138"/>
      <c r="B27" s="111"/>
      <c r="C27" s="127" t="s">
        <v>208</v>
      </c>
      <c r="D27" s="134">
        <f>SUM(D19:D26)</f>
        <v>107472.80000000002</v>
      </c>
      <c r="E27" s="142">
        <f>IF(SUM(E19:E26)='数据-基础表'!BA5,SUM(E19:E26),IF(F27="地上面积有误","面积有误","地下面积有误"))</f>
        <v>365663.22</v>
      </c>
      <c r="F27" s="134">
        <f>IF(SUM(F19:F26)=E8,SUM(F19:F26),"地上面积有误")</f>
        <v>275204</v>
      </c>
      <c r="G27" s="112">
        <f>SUM(G19:G26)</f>
        <v>90459.22</v>
      </c>
      <c r="H27" s="970">
        <f>SUM(H19:H26)</f>
        <v>13842.3</v>
      </c>
      <c r="I27" s="971">
        <f>SUM(I19:I26)</f>
        <v>47096.770000000004</v>
      </c>
      <c r="J27" s="1978"/>
      <c r="K27" s="2635">
        <f>SUM(K19:K26)</f>
        <v>41792.769999999997</v>
      </c>
      <c r="L27" s="2636">
        <f>SUM(L19:L26)</f>
        <v>5304</v>
      </c>
      <c r="M27" s="2637">
        <f>SUM(M19:M26)</f>
        <v>47096.770000000004</v>
      </c>
      <c r="N27" s="2635">
        <f t="shared" ref="N27:O27" si="10">SUM(N19:N26)</f>
        <v>0</v>
      </c>
      <c r="O27" s="2636">
        <f t="shared" si="10"/>
        <v>0</v>
      </c>
      <c r="P27" s="2638">
        <f>SUM(P19:P26)</f>
        <v>0</v>
      </c>
      <c r="R27" s="2299">
        <f>IF(SUM(R19:R26)=$D$3,SUM(R19:R26),SUM(R19:R26)&amp;"误差"&amp;ROUND(SUM(R19:R26)-$D$3,2))</f>
        <v>121315.09999999999</v>
      </c>
      <c r="S27" s="270">
        <f>IF(SUM(S19:S26)=$E$3,SUM(S19:S26),SUM(S19:S26)&amp;"误差"&amp;ROUND(SUM(S19:S26)-E3,2))</f>
        <v>412759.99000000005</v>
      </c>
    </row>
    <row r="28" spans="1:19">
      <c r="A28" s="138"/>
      <c r="B28" s="115" t="s">
        <v>220</v>
      </c>
      <c r="C28" s="136" t="s">
        <v>221</v>
      </c>
      <c r="D28" s="111">
        <f>ROUND($D$3*E28/$E$3,2)</f>
        <v>12283.4</v>
      </c>
      <c r="E28" s="134">
        <f>SUM(F28:G28)</f>
        <v>41792.770000000004</v>
      </c>
      <c r="F28" s="143">
        <f>'数据-基础表'!BQ5+'数据-基础表'!BS5</f>
        <v>1192</v>
      </c>
      <c r="G28" s="144">
        <f>'数据-基础表'!BR5+'数据-基础表'!BT5</f>
        <v>40600.770000000004</v>
      </c>
      <c r="H28" s="1978"/>
      <c r="I28" s="1978"/>
      <c r="J28" s="1978"/>
      <c r="K28" s="1978"/>
      <c r="L28" s="1978"/>
    </row>
    <row r="29" spans="1:19">
      <c r="A29" s="138"/>
      <c r="B29" s="115" t="s">
        <v>220</v>
      </c>
      <c r="C29" s="2307" t="s">
        <v>2315</v>
      </c>
      <c r="D29" s="111">
        <f>ROUND($D$3*E29/$E$3,2)</f>
        <v>1558.91</v>
      </c>
      <c r="E29" s="134">
        <f>SUM(F29:G29)</f>
        <v>5304</v>
      </c>
      <c r="F29" s="143">
        <f>'数据-基础表'!BM5+'数据-基础表'!BO5</f>
        <v>5304</v>
      </c>
      <c r="G29" s="145">
        <f>'数据-基础表'!BN5+'数据-基础表'!BP5</f>
        <v>0</v>
      </c>
      <c r="H29" s="1978"/>
      <c r="I29" s="1978"/>
      <c r="J29" s="1978"/>
      <c r="K29" s="1978"/>
      <c r="L29" s="1978"/>
    </row>
    <row r="30" spans="1:19">
      <c r="A30" s="138"/>
      <c r="B30" s="111"/>
      <c r="C30" s="146" t="s">
        <v>208</v>
      </c>
      <c r="D30" s="134">
        <f>SUM(D28:D29)</f>
        <v>13842.31</v>
      </c>
      <c r="E30" s="134">
        <f>SUM(E28:E29)</f>
        <v>47096.770000000004</v>
      </c>
      <c r="F30" s="134">
        <f>SUM(F28:F29)</f>
        <v>6496</v>
      </c>
      <c r="G30" s="112">
        <f>SUM(G28:G29)</f>
        <v>40600.770000000004</v>
      </c>
      <c r="H30" s="1978"/>
      <c r="I30" s="1978"/>
      <c r="J30" s="1978"/>
      <c r="K30" s="1978"/>
      <c r="L30" s="1978"/>
    </row>
    <row r="31" spans="1:19" ht="32.25" customHeight="1" thickBot="1">
      <c r="A31" s="1364"/>
      <c r="B31" s="1365" t="s">
        <v>222</v>
      </c>
      <c r="C31" s="2324" t="s">
        <v>2317</v>
      </c>
      <c r="D31" s="1366">
        <f>D27+D30</f>
        <v>121315.11000000002</v>
      </c>
      <c r="E31" s="1366">
        <f>E27+E30</f>
        <v>412759.99</v>
      </c>
      <c r="F31" s="1367">
        <f>F27+F30</f>
        <v>281700</v>
      </c>
      <c r="G31" s="1368">
        <f>G27+G30</f>
        <v>131059.99</v>
      </c>
      <c r="H31" s="1978"/>
      <c r="I31" s="1978"/>
      <c r="J31" s="1978"/>
      <c r="K31" s="1978"/>
      <c r="L31" s="1978"/>
    </row>
    <row r="32" spans="1:19">
      <c r="A32" s="1978"/>
      <c r="B32" s="2357" t="s">
        <v>2316</v>
      </c>
      <c r="C32" s="2666"/>
      <c r="D32" s="1196"/>
      <c r="E32" s="1196">
        <f>SUMIF(C19:C26,"*住宅*",E19:E26)</f>
        <v>118355.56</v>
      </c>
      <c r="F32" s="1196"/>
      <c r="G32" s="1196"/>
    </row>
    <row r="33" spans="4:9">
      <c r="D33" s="1982"/>
    </row>
    <row r="34" spans="4:9" ht="15" thickBot="1"/>
    <row r="35" spans="4:9" ht="19.5" thickBot="1">
      <c r="D35" s="3346" t="s">
        <v>3237</v>
      </c>
      <c r="E35" s="3348" t="s">
        <v>2370</v>
      </c>
      <c r="F35" s="3348" t="s">
        <v>3238</v>
      </c>
      <c r="G35" s="3350" t="s">
        <v>3239</v>
      </c>
      <c r="H35" s="3351"/>
      <c r="I35" s="3352"/>
    </row>
    <row r="36" spans="4:9" ht="15" thickBot="1">
      <c r="D36" s="3347"/>
      <c r="E36" s="3349"/>
      <c r="F36" s="3349"/>
      <c r="G36" s="3218" t="s">
        <v>2999</v>
      </c>
      <c r="H36" s="3218" t="s">
        <v>3196</v>
      </c>
      <c r="I36" s="3218" t="s">
        <v>24</v>
      </c>
    </row>
    <row r="37" spans="4:9" ht="15.75" thickBot="1">
      <c r="D37" s="3338" t="s">
        <v>3240</v>
      </c>
      <c r="E37" s="3219">
        <v>1</v>
      </c>
      <c r="F37" s="3221" t="str">
        <f>C19</f>
        <v>高层住宅</v>
      </c>
      <c r="G37" s="3219">
        <f>F19</f>
        <v>118355.56</v>
      </c>
      <c r="H37" s="3219" t="s">
        <v>945</v>
      </c>
      <c r="I37" s="3219">
        <f>G37</f>
        <v>118355.56</v>
      </c>
    </row>
    <row r="38" spans="4:9" ht="15.75" thickBot="1">
      <c r="D38" s="3339"/>
      <c r="E38" s="3219">
        <v>2</v>
      </c>
      <c r="F38" s="3220" t="s">
        <v>3244</v>
      </c>
      <c r="G38" s="3219">
        <f t="shared" ref="G38:G41" si="11">F20</f>
        <v>40798.44</v>
      </c>
      <c r="H38" s="3219" t="s">
        <v>945</v>
      </c>
      <c r="I38" s="3219">
        <f t="shared" ref="I38:I41" si="12">G38</f>
        <v>40798.44</v>
      </c>
    </row>
    <row r="39" spans="4:9" ht="15.75" thickBot="1">
      <c r="D39" s="3339"/>
      <c r="E39" s="3219">
        <v>3</v>
      </c>
      <c r="F39" s="3220" t="s">
        <v>3245</v>
      </c>
      <c r="G39" s="3219">
        <f t="shared" si="11"/>
        <v>7800</v>
      </c>
      <c r="H39" s="3219" t="str">
        <f>H38</f>
        <v>——</v>
      </c>
      <c r="I39" s="3219">
        <f t="shared" si="12"/>
        <v>7800</v>
      </c>
    </row>
    <row r="40" spans="4:9" ht="15.75" thickBot="1">
      <c r="D40" s="3339"/>
      <c r="E40" s="3219">
        <v>4</v>
      </c>
      <c r="F40" s="3220" t="s">
        <v>3246</v>
      </c>
      <c r="G40" s="3219">
        <f t="shared" si="11"/>
        <v>44170</v>
      </c>
      <c r="H40" s="3219" t="str">
        <f>H39</f>
        <v>——</v>
      </c>
      <c r="I40" s="3219">
        <f t="shared" si="12"/>
        <v>44170</v>
      </c>
    </row>
    <row r="41" spans="4:9" ht="15.75" thickBot="1">
      <c r="D41" s="3339"/>
      <c r="E41" s="3219">
        <v>5</v>
      </c>
      <c r="F41" s="3220" t="s">
        <v>3248</v>
      </c>
      <c r="G41" s="3219">
        <f t="shared" si="11"/>
        <v>64080</v>
      </c>
      <c r="H41" s="3219" t="str">
        <f>H40</f>
        <v>——</v>
      </c>
      <c r="I41" s="3219">
        <f t="shared" si="12"/>
        <v>64080</v>
      </c>
    </row>
    <row r="42" spans="4:9" ht="15.75" thickBot="1">
      <c r="D42" s="3339"/>
      <c r="E42" s="3219">
        <v>6</v>
      </c>
      <c r="F42" s="3220" t="s">
        <v>3247</v>
      </c>
      <c r="G42" s="3219" t="s">
        <v>945</v>
      </c>
      <c r="H42" s="3219">
        <f>G25</f>
        <v>90459.22</v>
      </c>
      <c r="I42" s="3219">
        <f>H42</f>
        <v>90459.22</v>
      </c>
    </row>
    <row r="43" spans="4:9" ht="15.75" thickBot="1">
      <c r="D43" s="3340"/>
      <c r="E43" s="3341" t="s">
        <v>27</v>
      </c>
      <c r="F43" s="3342"/>
      <c r="G43" s="3219">
        <f>SUM(G37:G42)</f>
        <v>275204</v>
      </c>
      <c r="H43" s="3219">
        <f>H42</f>
        <v>90459.22</v>
      </c>
      <c r="I43" s="3219">
        <f>SUM(I37:I42)</f>
        <v>365663.22</v>
      </c>
    </row>
    <row r="44" spans="4:9" ht="15.75" thickBot="1">
      <c r="D44" s="3338" t="s">
        <v>3241</v>
      </c>
      <c r="E44" s="3219">
        <v>4</v>
      </c>
      <c r="F44" s="3220" t="s">
        <v>3242</v>
      </c>
      <c r="G44" s="3219">
        <f>F28</f>
        <v>1192</v>
      </c>
      <c r="H44" s="3219">
        <f>G28</f>
        <v>40600.770000000004</v>
      </c>
      <c r="I44" s="3222">
        <f>SUM(G44:H44)</f>
        <v>41792.770000000004</v>
      </c>
    </row>
    <row r="45" spans="4:9" ht="15.75" thickBot="1">
      <c r="D45" s="3339"/>
      <c r="E45" s="3219">
        <v>5</v>
      </c>
      <c r="F45" s="3220" t="s">
        <v>3243</v>
      </c>
      <c r="G45" s="3219">
        <f>F29</f>
        <v>5304</v>
      </c>
      <c r="H45" s="3219">
        <f>G29</f>
        <v>0</v>
      </c>
      <c r="I45" s="3222">
        <f>SUM(G45:H45)</f>
        <v>5304</v>
      </c>
    </row>
    <row r="46" spans="4:9" ht="15.75" thickBot="1">
      <c r="D46" s="3340"/>
      <c r="E46" s="3341" t="s">
        <v>27</v>
      </c>
      <c r="F46" s="3342"/>
      <c r="G46" s="3219">
        <f>SUM(G44:G45)</f>
        <v>6496</v>
      </c>
      <c r="H46" s="3219">
        <f>SUM(H44:H45)</f>
        <v>40600.770000000004</v>
      </c>
      <c r="I46" s="3219">
        <f t="shared" ref="I46" si="13">SUM(I44:I45)</f>
        <v>47096.770000000004</v>
      </c>
    </row>
    <row r="47" spans="4:9" ht="15.75" thickBot="1">
      <c r="D47" s="3343" t="s">
        <v>24</v>
      </c>
      <c r="E47" s="3344"/>
      <c r="F47" s="3345"/>
      <c r="G47" s="3219">
        <f>SUM(G46,G43)</f>
        <v>281700</v>
      </c>
      <c r="H47" s="3219">
        <f t="shared" ref="H47:I47" si="14">SUM(H46,H43)</f>
        <v>131059.99</v>
      </c>
      <c r="I47" s="3219">
        <f t="shared" si="14"/>
        <v>412759.99</v>
      </c>
    </row>
  </sheetData>
  <sheetProtection formatCells="0" formatColumns="0" formatRows="0"/>
  <mergeCells count="18">
    <mergeCell ref="A7:C7"/>
    <mergeCell ref="A2:C2"/>
    <mergeCell ref="A3:C3"/>
    <mergeCell ref="A4:C4"/>
    <mergeCell ref="B5:C5"/>
    <mergeCell ref="B6:C6"/>
    <mergeCell ref="G35:I35"/>
    <mergeCell ref="D37:D43"/>
    <mergeCell ref="E43:F43"/>
    <mergeCell ref="K16:P16"/>
    <mergeCell ref="K17:M17"/>
    <mergeCell ref="N17:P17"/>
    <mergeCell ref="D44:D46"/>
    <mergeCell ref="E46:F46"/>
    <mergeCell ref="D47:F47"/>
    <mergeCell ref="D35:D36"/>
    <mergeCell ref="E35:E36"/>
    <mergeCell ref="F35:F3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AD6" activePane="bottomRight" state="frozen"/>
      <selection pane="topRight" activeCell="D1" sqref="D1"/>
      <selection pane="bottomLeft" activeCell="A4" sqref="A4"/>
      <selection pane="bottomRight" activeCell="M22" sqref="M22"/>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3" width="7.25" style="1198" customWidth="1"/>
    <col min="34" max="34" width="9.625" style="1198" customWidth="1"/>
    <col min="35" max="39" width="8" style="1198" customWidth="1"/>
    <col min="40" max="41" width="13.75" style="1992"/>
    <col min="42" max="42" width="0" style="1992" hidden="1" customWidth="1"/>
    <col min="43" max="83" width="13.75" style="1992"/>
    <col min="84" max="16384" width="13.75" style="1198"/>
  </cols>
  <sheetData>
    <row r="1" spans="1:83" ht="19.5" thickBot="1">
      <c r="A1" s="147" t="s">
        <v>227</v>
      </c>
      <c r="B1" s="1197"/>
      <c r="C1" s="1983"/>
      <c r="D1" s="1984"/>
      <c r="E1" s="1983"/>
      <c r="F1" s="1983"/>
      <c r="G1" s="1983"/>
      <c r="H1" s="1983"/>
      <c r="I1" s="1983"/>
      <c r="J1" s="1983"/>
      <c r="K1" s="1985"/>
      <c r="L1" s="1985"/>
      <c r="M1" s="1983"/>
      <c r="N1" s="1983"/>
      <c r="O1" s="1983"/>
      <c r="P1" s="1983"/>
      <c r="Q1" s="1983"/>
      <c r="R1" s="1983"/>
      <c r="S1" s="1983"/>
      <c r="T1" s="1983"/>
      <c r="U1" s="1983"/>
      <c r="V1" s="1983"/>
      <c r="W1" s="1983"/>
      <c r="X1" s="1983"/>
      <c r="Y1" s="1983"/>
      <c r="Z1" s="1983"/>
      <c r="AA1" s="1983"/>
      <c r="AB1" s="1983"/>
      <c r="AC1" s="1983"/>
      <c r="AD1" s="1983"/>
      <c r="AE1" s="1983"/>
      <c r="AF1" s="1983"/>
      <c r="AG1" s="1983"/>
      <c r="AH1" s="1983"/>
      <c r="AI1" s="1983"/>
      <c r="AJ1" s="1983"/>
      <c r="AK1" s="1983"/>
      <c r="AL1" s="1983"/>
      <c r="AM1" s="1983"/>
    </row>
    <row r="2" spans="1:83" s="1201" customFormat="1" ht="15.75" thickBot="1">
      <c r="A2" s="148" t="s">
        <v>228</v>
      </c>
      <c r="B2" s="2332">
        <f>项目基本情况!D3</f>
        <v>43035</v>
      </c>
      <c r="C2" s="1986"/>
      <c r="D2" s="1987"/>
      <c r="E2" s="1986"/>
      <c r="F2" s="1986"/>
      <c r="G2" s="1986"/>
      <c r="H2" s="1986"/>
      <c r="I2" s="1986"/>
      <c r="J2" s="1986"/>
      <c r="K2" s="1988"/>
      <c r="L2" s="1988"/>
      <c r="M2" s="1986"/>
      <c r="N2" s="1986"/>
      <c r="O2" s="1986"/>
      <c r="P2" s="1986"/>
      <c r="Q2" s="1986"/>
      <c r="R2" s="1986"/>
      <c r="S2" s="1986"/>
      <c r="T2" s="1986"/>
      <c r="U2" s="1986"/>
      <c r="V2" s="1986"/>
      <c r="W2" s="1986"/>
      <c r="X2" s="1986"/>
      <c r="Y2" s="1986"/>
      <c r="Z2" s="1986"/>
      <c r="AA2" s="1986"/>
      <c r="AB2" s="1986"/>
      <c r="AC2" s="1986"/>
      <c r="AD2" s="1986"/>
      <c r="AE2" s="1986"/>
      <c r="AF2" s="1986"/>
      <c r="AG2" s="1986"/>
      <c r="AH2" s="1986"/>
      <c r="AI2" s="1986"/>
      <c r="AJ2" s="1986"/>
      <c r="AK2" s="1986"/>
      <c r="AL2" s="1986"/>
      <c r="AM2" s="1986"/>
      <c r="AN2" s="1994"/>
      <c r="AO2" s="1994"/>
      <c r="AP2" s="1994"/>
      <c r="AQ2" s="1994"/>
      <c r="AR2" s="1994"/>
      <c r="AS2" s="1994"/>
      <c r="AT2" s="1994"/>
      <c r="AU2" s="1994"/>
      <c r="AV2" s="1994"/>
      <c r="AW2" s="1994"/>
      <c r="AX2" s="1994"/>
      <c r="AY2" s="1994"/>
      <c r="AZ2" s="1994"/>
      <c r="BA2" s="1994"/>
      <c r="BB2" s="1994"/>
      <c r="BC2" s="1994"/>
      <c r="BD2" s="1994"/>
      <c r="BE2" s="1994"/>
      <c r="BF2" s="1994"/>
      <c r="BG2" s="1994"/>
      <c r="BH2" s="1994"/>
      <c r="BI2" s="1994"/>
      <c r="BJ2" s="1994"/>
      <c r="BK2" s="1994"/>
      <c r="BL2" s="1994"/>
      <c r="BM2" s="1994"/>
      <c r="BN2" s="1994"/>
      <c r="BO2" s="1994"/>
      <c r="BP2" s="1994"/>
      <c r="BQ2" s="1994"/>
      <c r="BR2" s="1994"/>
      <c r="BS2" s="1994"/>
      <c r="BT2" s="1994"/>
      <c r="BU2" s="1994"/>
      <c r="BV2" s="1994"/>
      <c r="BW2" s="1994"/>
      <c r="BX2" s="1994"/>
      <c r="BY2" s="1994"/>
      <c r="BZ2" s="1994"/>
      <c r="CA2" s="1994"/>
      <c r="CB2" s="1994"/>
      <c r="CC2" s="1994"/>
      <c r="CD2" s="1994"/>
      <c r="CE2" s="1994"/>
    </row>
    <row r="3" spans="1:83" s="1201" customFormat="1" ht="15" thickBot="1">
      <c r="A3" s="1202"/>
      <c r="B3" s="1199"/>
      <c r="C3" s="1986"/>
      <c r="D3" s="1987"/>
      <c r="E3" s="1986"/>
      <c r="F3" s="1986"/>
      <c r="G3" s="1986"/>
      <c r="H3" s="1986"/>
      <c r="I3" s="1986"/>
      <c r="J3" s="1986"/>
      <c r="K3" s="1988"/>
      <c r="L3" s="1988"/>
      <c r="M3" s="1986"/>
      <c r="N3" s="1986"/>
      <c r="O3" s="1986"/>
      <c r="P3" s="1986"/>
      <c r="Q3" s="1986"/>
      <c r="R3" s="1986"/>
      <c r="S3" s="1986"/>
      <c r="T3" s="1986"/>
      <c r="U3" s="1986"/>
      <c r="V3" s="1986"/>
      <c r="W3" s="1986"/>
      <c r="X3" s="1986"/>
      <c r="Y3" s="1986"/>
      <c r="Z3" s="1986"/>
      <c r="AA3" s="1986"/>
      <c r="AB3" s="1986"/>
      <c r="AC3" s="1986"/>
      <c r="AD3" s="1986"/>
      <c r="AE3" s="1986"/>
      <c r="AF3" s="1986"/>
      <c r="AG3" s="1986"/>
      <c r="AH3" s="1986"/>
      <c r="AI3" s="1986"/>
      <c r="AJ3" s="1986"/>
      <c r="AK3" s="1986"/>
      <c r="AL3" s="1986"/>
      <c r="AM3" s="1986"/>
      <c r="AN3" s="1994"/>
      <c r="AO3" s="1994"/>
      <c r="AP3" s="1994"/>
      <c r="AQ3" s="1994"/>
      <c r="AR3" s="1994"/>
      <c r="AS3" s="1994"/>
      <c r="AT3" s="1994"/>
      <c r="AU3" s="1994"/>
      <c r="AV3" s="1994"/>
      <c r="AW3" s="1994"/>
      <c r="AX3" s="1994"/>
      <c r="AY3" s="1994"/>
      <c r="AZ3" s="1994"/>
      <c r="BA3" s="1994"/>
      <c r="BB3" s="1994"/>
      <c r="BC3" s="1994"/>
      <c r="BD3" s="1994"/>
      <c r="BE3" s="1994"/>
      <c r="BF3" s="1994"/>
      <c r="BG3" s="1994"/>
      <c r="BH3" s="1994"/>
      <c r="BI3" s="1994"/>
      <c r="BJ3" s="1994"/>
      <c r="BK3" s="1994"/>
      <c r="BL3" s="1994"/>
      <c r="BM3" s="1994"/>
      <c r="BN3" s="1994"/>
      <c r="BO3" s="1994"/>
      <c r="BP3" s="1994"/>
      <c r="BQ3" s="1994"/>
      <c r="BR3" s="1994"/>
      <c r="BS3" s="1994"/>
      <c r="BT3" s="1994"/>
      <c r="BU3" s="1994"/>
      <c r="BV3" s="1994"/>
      <c r="BW3" s="1994"/>
      <c r="BX3" s="1994"/>
      <c r="BY3" s="1994"/>
      <c r="BZ3" s="1994"/>
      <c r="CA3" s="1994"/>
      <c r="CB3" s="1994"/>
      <c r="CC3" s="1994"/>
      <c r="CD3" s="1994"/>
      <c r="CE3" s="1994"/>
    </row>
    <row r="4" spans="1:83" s="1201" customFormat="1" ht="15" thickBot="1">
      <c r="A4" s="149" t="s">
        <v>857</v>
      </c>
      <c r="B4" s="151"/>
      <c r="C4" s="152"/>
      <c r="D4" s="1203"/>
      <c r="E4" s="1204" t="s">
        <v>858</v>
      </c>
      <c r="F4" s="152"/>
      <c r="G4" s="152"/>
      <c r="H4" s="152"/>
      <c r="I4" s="152"/>
      <c r="J4" s="153"/>
      <c r="K4" s="1205"/>
      <c r="L4" s="1206"/>
      <c r="M4" s="152"/>
      <c r="N4" s="1204" t="s">
        <v>859</v>
      </c>
      <c r="O4" s="152"/>
      <c r="P4" s="152"/>
      <c r="Q4" s="152"/>
      <c r="R4" s="152"/>
      <c r="S4" s="153"/>
      <c r="T4" s="972" t="str">
        <f>'数据-汇总表'!I17</f>
        <v>按面积比例</v>
      </c>
      <c r="U4" s="151" t="s">
        <v>860</v>
      </c>
      <c r="V4" s="152"/>
      <c r="W4" s="152"/>
      <c r="X4" s="152"/>
      <c r="Y4" s="153"/>
      <c r="Z4" s="123" t="s">
        <v>861</v>
      </c>
      <c r="AA4" s="123"/>
      <c r="AB4" s="123"/>
      <c r="AC4" s="123"/>
      <c r="AD4" s="123"/>
      <c r="AE4" s="121" t="s">
        <v>862</v>
      </c>
      <c r="AF4" s="123"/>
      <c r="AG4" s="154"/>
      <c r="AH4" s="151"/>
      <c r="AI4" s="152"/>
      <c r="AJ4" s="152"/>
      <c r="AK4" s="152"/>
      <c r="AL4" s="152"/>
      <c r="AM4" s="153"/>
      <c r="AN4" s="1994"/>
      <c r="AO4" s="1994"/>
      <c r="AP4" s="1994"/>
      <c r="AQ4" s="1994"/>
      <c r="AR4" s="1994"/>
      <c r="AS4" s="1994"/>
      <c r="AT4" s="1994"/>
      <c r="AU4" s="1994"/>
      <c r="AV4" s="1994"/>
      <c r="AW4" s="1994"/>
      <c r="AX4" s="1994"/>
      <c r="AY4" s="1994"/>
      <c r="AZ4" s="1994"/>
      <c r="BA4" s="1994"/>
      <c r="BB4" s="1994"/>
      <c r="BC4" s="1994"/>
      <c r="BD4" s="1994"/>
      <c r="BE4" s="1994"/>
      <c r="BF4" s="1994"/>
      <c r="BG4" s="1994"/>
      <c r="BH4" s="1994"/>
      <c r="BI4" s="1994"/>
      <c r="BJ4" s="1994"/>
      <c r="BK4" s="1994"/>
      <c r="BL4" s="1994"/>
      <c r="BM4" s="1994"/>
      <c r="BN4" s="1994"/>
      <c r="BO4" s="1994"/>
      <c r="BP4" s="1994"/>
      <c r="BQ4" s="1994"/>
      <c r="BR4" s="1994"/>
      <c r="BS4" s="1994"/>
      <c r="BT4" s="1994"/>
      <c r="BU4" s="1994"/>
      <c r="BV4" s="1994"/>
      <c r="BW4" s="1994"/>
      <c r="BX4" s="1994"/>
      <c r="BY4" s="1994"/>
      <c r="BZ4" s="1994"/>
      <c r="CA4" s="1994"/>
      <c r="CB4" s="1994"/>
      <c r="CC4" s="1994"/>
      <c r="CD4" s="1994"/>
      <c r="CE4" s="1994"/>
    </row>
    <row r="5" spans="1:83" s="1207" customFormat="1" ht="40.5">
      <c r="A5" s="2298" t="s">
        <v>2319</v>
      </c>
      <c r="B5" s="155" t="s">
        <v>229</v>
      </c>
      <c r="C5" s="156" t="s">
        <v>230</v>
      </c>
      <c r="D5" s="157" t="s">
        <v>231</v>
      </c>
      <c r="E5" s="158" t="s">
        <v>232</v>
      </c>
      <c r="F5" s="159" t="s">
        <v>233</v>
      </c>
      <c r="G5" s="158" t="s">
        <v>234</v>
      </c>
      <c r="H5" s="158" t="s">
        <v>855</v>
      </c>
      <c r="I5" s="158" t="s">
        <v>856</v>
      </c>
      <c r="J5" s="160" t="s">
        <v>235</v>
      </c>
      <c r="K5" s="161" t="s">
        <v>236</v>
      </c>
      <c r="L5" s="162" t="s">
        <v>237</v>
      </c>
      <c r="M5" s="163" t="s">
        <v>238</v>
      </c>
      <c r="N5" s="1214" t="s">
        <v>2827</v>
      </c>
      <c r="O5" s="162" t="s">
        <v>239</v>
      </c>
      <c r="P5" s="164" t="s">
        <v>240</v>
      </c>
      <c r="Q5" s="165" t="s">
        <v>241</v>
      </c>
      <c r="R5" s="166" t="s">
        <v>242</v>
      </c>
      <c r="S5" s="2639" t="s">
        <v>2569</v>
      </c>
      <c r="T5" s="167" t="s">
        <v>243</v>
      </c>
      <c r="U5" s="168" t="s">
        <v>244</v>
      </c>
      <c r="V5" s="158" t="s">
        <v>245</v>
      </c>
      <c r="W5" s="158" t="s">
        <v>246</v>
      </c>
      <c r="X5" s="1812"/>
      <c r="Y5" s="169" t="s">
        <v>247</v>
      </c>
      <c r="Z5" s="170" t="s">
        <v>248</v>
      </c>
      <c r="AA5" s="158" t="s">
        <v>245</v>
      </c>
      <c r="AB5" s="158" t="s">
        <v>246</v>
      </c>
      <c r="AC5" s="1813"/>
      <c r="AD5" s="171" t="s">
        <v>247</v>
      </c>
      <c r="AE5" s="1" t="s">
        <v>863</v>
      </c>
      <c r="AF5" s="158" t="s">
        <v>249</v>
      </c>
      <c r="AG5" s="169" t="s">
        <v>250</v>
      </c>
      <c r="AH5" s="1813" t="s">
        <v>2318</v>
      </c>
      <c r="AI5" s="170" t="s">
        <v>2287</v>
      </c>
      <c r="AJ5" s="170" t="s">
        <v>251</v>
      </c>
      <c r="AK5" s="158" t="s">
        <v>252</v>
      </c>
      <c r="AL5" s="158" t="s">
        <v>253</v>
      </c>
      <c r="AM5" s="171" t="s">
        <v>254</v>
      </c>
      <c r="AN5" s="2409" t="s">
        <v>2368</v>
      </c>
      <c r="AO5" s="1995"/>
      <c r="AP5" s="1995"/>
      <c r="AQ5" s="1995"/>
      <c r="AR5" s="1995"/>
      <c r="AS5" s="1995"/>
      <c r="AT5" s="1995"/>
      <c r="AU5" s="1995"/>
      <c r="AV5" s="1995"/>
      <c r="AW5" s="1995"/>
      <c r="AX5" s="1995"/>
      <c r="AY5" s="1995"/>
      <c r="AZ5" s="1995"/>
      <c r="BA5" s="1995"/>
      <c r="BB5" s="1995"/>
      <c r="BC5" s="1995"/>
      <c r="BD5" s="1995"/>
      <c r="BE5" s="1995"/>
      <c r="BF5" s="1995"/>
      <c r="BG5" s="1995"/>
      <c r="BH5" s="1995"/>
      <c r="BI5" s="1995"/>
      <c r="BJ5" s="1995"/>
      <c r="BK5" s="1995"/>
      <c r="BL5" s="1995"/>
      <c r="BM5" s="1995"/>
      <c r="BN5" s="1995"/>
      <c r="BO5" s="1995"/>
      <c r="BP5" s="1995"/>
      <c r="BQ5" s="1995"/>
      <c r="BR5" s="1995"/>
      <c r="BS5" s="1995"/>
      <c r="BT5" s="1995"/>
      <c r="BU5" s="1995"/>
      <c r="BV5" s="1995"/>
      <c r="BW5" s="1995"/>
      <c r="BX5" s="1995"/>
      <c r="BY5" s="1995"/>
      <c r="BZ5" s="1995"/>
      <c r="CA5" s="1995"/>
      <c r="CB5" s="1995"/>
      <c r="CC5" s="1995"/>
      <c r="CD5" s="1995"/>
      <c r="CE5" s="1995"/>
    </row>
    <row r="6" spans="1:83" s="1201" customFormat="1" ht="14.25">
      <c r="A6" s="2296" t="str">
        <f>'数据-汇总表'!C19</f>
        <v>高层住宅</v>
      </c>
      <c r="B6" s="2331" t="str">
        <f>IF(A6=0,"","经营性")</f>
        <v>经营性</v>
      </c>
      <c r="C6" s="172" t="s">
        <v>916</v>
      </c>
      <c r="D6" s="2302">
        <f>SUMIF(项目基本情况!D$15:I$15,C6,项目基本情况!D$18:I$18)</f>
        <v>70</v>
      </c>
      <c r="E6" s="2303">
        <f>IF(B6="","",SUMIF(项目基本情况!D$15:I$15,C6,项目基本情况!D$17:I$17))</f>
        <v>68478</v>
      </c>
      <c r="F6" s="173">
        <f>SUMIF(项目基本情况!D$15:I$15,C6,项目基本情况!D$19:I$19)</f>
        <v>69.7</v>
      </c>
      <c r="G6" s="174">
        <f>IF(ISERROR(ROUND(POWER(1+H6,D6-F6)*(POWER(1+H6,F6)-1)/(POWER(1+H6,D6)-1),3)),0,ROUND(POWER(1+H6,D6-F6)*(POWER(1+H6,F6)-1)/(POWER(1+H6,D6)-1),3))</f>
        <v>0.999</v>
      </c>
      <c r="H6" s="3045">
        <v>4.4999999999999998E-2</v>
      </c>
      <c r="I6" s="3045">
        <v>0.05</v>
      </c>
      <c r="J6" s="175">
        <v>0.08</v>
      </c>
      <c r="K6" s="178">
        <f>SUMIF('数据-汇总表'!C$19:C$33,'数据-取费表'!A6,'数据-汇总表'!E$19:E$33)</f>
        <v>118355.56</v>
      </c>
      <c r="L6" s="3213">
        <v>4200</v>
      </c>
      <c r="M6" s="176">
        <f t="shared" ref="M6:M14" si="0">ROUND(K6*L6/10000,0)</f>
        <v>49709</v>
      </c>
      <c r="N6" s="3046">
        <v>0</v>
      </c>
      <c r="O6" s="176">
        <f>IF($N$5="成新度","——",ROUND(M6*N6,0))</f>
        <v>0</v>
      </c>
      <c r="P6" s="177">
        <f>IF($N$5="成新度","——",M6-O6)</f>
        <v>49709</v>
      </c>
      <c r="Q6" s="3047">
        <v>0.15</v>
      </c>
      <c r="R6" s="178">
        <f>SUMIF('数据-汇总表'!C$19:C$33,A6,'数据-汇总表'!R$19:R$33)</f>
        <v>40320.840000000004</v>
      </c>
      <c r="S6" s="132">
        <f>IF('数据-汇总表'!$I$17="按面积比例",SUMIF('数据-汇总表'!C$19:C$33,A6,'数据-汇总表'!K$19:K$33),SUMIF('数据-汇总表'!C$19:C$33,A6,'数据-汇总表'!N$19:N$33))</f>
        <v>13527.22</v>
      </c>
      <c r="T6" s="2228">
        <f>IF($T$4="按面积比例",IF(ISERROR(ROUND($M$14*S6/S$16,0)),"0",ROUND($M$14*S6/S$16,0)),"需自行计算录入")</f>
        <v>2706</v>
      </c>
      <c r="U6" s="179"/>
      <c r="V6" s="180"/>
      <c r="W6" s="180"/>
      <c r="X6" s="2315"/>
      <c r="Y6" s="181"/>
      <c r="Z6" s="182"/>
      <c r="AA6" s="175"/>
      <c r="AB6" s="175"/>
      <c r="AC6" s="2318"/>
      <c r="AD6" s="183"/>
      <c r="AE6" s="967">
        <f ca="1">IF(AN6="",0,SUMIF(INDIRECT("'"&amp;AN6&amp;"'"&amp;"!E:E"),$AE$5,INDIRECT("'"&amp;AN6&amp;"'"&amp;"!F:F")))</f>
        <v>0</v>
      </c>
      <c r="AF6" s="140"/>
      <c r="AG6" s="1208">
        <f>IF(AF6="",0,AE6-AF6)</f>
        <v>0</v>
      </c>
      <c r="AH6" s="140"/>
      <c r="AI6" s="185"/>
      <c r="AJ6" s="186"/>
      <c r="AK6" s="187"/>
      <c r="AL6" s="188"/>
      <c r="AM6" s="3058"/>
      <c r="AN6" s="2410"/>
      <c r="AO6" s="1994"/>
      <c r="AP6" s="1199">
        <f>ROUND(1-1/(1+H6)^F6,3)</f>
        <v>0.95299999999999996</v>
      </c>
      <c r="AQ6" s="1994"/>
      <c r="AR6" s="1994"/>
      <c r="AS6" s="1994"/>
      <c r="AT6" s="1994"/>
      <c r="AU6" s="1994"/>
      <c r="AV6" s="1994"/>
      <c r="AW6" s="1994"/>
      <c r="AX6" s="1994"/>
      <c r="AY6" s="1994"/>
      <c r="AZ6" s="1994"/>
      <c r="BA6" s="1994"/>
      <c r="BB6" s="1994"/>
      <c r="BC6" s="1994"/>
      <c r="BD6" s="1994"/>
      <c r="BE6" s="1994"/>
      <c r="BF6" s="1994"/>
      <c r="BG6" s="1994"/>
      <c r="BH6" s="1994"/>
      <c r="BI6" s="1994"/>
      <c r="BJ6" s="1994"/>
      <c r="BK6" s="1994"/>
      <c r="BL6" s="1994"/>
      <c r="BM6" s="1994"/>
      <c r="BN6" s="1994"/>
      <c r="BO6" s="1994"/>
      <c r="BP6" s="1994"/>
      <c r="BQ6" s="1994"/>
      <c r="BR6" s="1994"/>
      <c r="BS6" s="1994"/>
      <c r="BT6" s="1994"/>
      <c r="BU6" s="1994"/>
      <c r="BV6" s="1994"/>
      <c r="BW6" s="1994"/>
      <c r="BX6" s="1994"/>
      <c r="BY6" s="1994"/>
      <c r="BZ6" s="1994"/>
      <c r="CA6" s="1994"/>
      <c r="CB6" s="1994"/>
      <c r="CC6" s="1994"/>
      <c r="CD6" s="1994"/>
      <c r="CE6" s="1994"/>
    </row>
    <row r="7" spans="1:83" s="1201" customFormat="1" ht="14.25">
      <c r="A7" s="2296" t="str">
        <f>'数据-汇总表'!C20</f>
        <v>洋房</v>
      </c>
      <c r="B7" s="2331" t="str">
        <f t="shared" ref="B7:B13" si="1">IF(A7=0,"","经营性")</f>
        <v>经营性</v>
      </c>
      <c r="C7" s="172" t="s">
        <v>916</v>
      </c>
      <c r="D7" s="2302">
        <f>SUMIF(项目基本情况!D$15:I$15,C7,项目基本情况!D$18:I$18)</f>
        <v>70</v>
      </c>
      <c r="E7" s="2303">
        <f>IF(B7="","",SUMIF(项目基本情况!D$15:I$15,C7,项目基本情况!D$17:I$17))</f>
        <v>68478</v>
      </c>
      <c r="F7" s="173">
        <f>SUMIF(项目基本情况!D$15:I$15,C7,项目基本情况!D$19:I$19)</f>
        <v>69.7</v>
      </c>
      <c r="G7" s="174">
        <f t="shared" ref="G7:G11" si="2">IF(ISERROR(ROUND(POWER(1+H7,D7-F7)*(POWER(1+H7,F7)-1)/(POWER(1+H7,D7)-1),3)),0,ROUND(POWER(1+H7,D7-F7)*(POWER(1+H7,F7)-1)/(POWER(1+H7,D7)-1),3))</f>
        <v>0.999</v>
      </c>
      <c r="H7" s="3045">
        <v>4.4999999999999998E-2</v>
      </c>
      <c r="I7" s="3045">
        <v>0.05</v>
      </c>
      <c r="J7" s="175">
        <v>0.08</v>
      </c>
      <c r="K7" s="178">
        <f>SUMIF('数据-汇总表'!C$19:C$33,'数据-取费表'!A7,'数据-汇总表'!E$19:E$33)</f>
        <v>40798.44</v>
      </c>
      <c r="L7" s="3213">
        <v>3600</v>
      </c>
      <c r="M7" s="176">
        <f t="shared" si="0"/>
        <v>14687</v>
      </c>
      <c r="N7" s="3046">
        <v>0</v>
      </c>
      <c r="O7" s="176">
        <f t="shared" ref="O7:O14" si="3">IF($N$5="成新度","——",ROUND(M7*N7,0))</f>
        <v>0</v>
      </c>
      <c r="P7" s="177">
        <f t="shared" ref="P7:P14" si="4">IF($N$5="成新度","——",M7-O7)</f>
        <v>14687</v>
      </c>
      <c r="Q7" s="3047">
        <v>0.2</v>
      </c>
      <c r="R7" s="178">
        <f>SUMIF('数据-汇总表'!C$19:C$33,A7,'数据-汇总表'!R$19:R$33)</f>
        <v>13361.66</v>
      </c>
      <c r="S7" s="132">
        <f>IF('数据-汇总表'!$I$17="按面积比例",SUMIF('数据-汇总表'!C$19:C$33,A7,'数据-汇总表'!K$19:K$33),SUMIF('数据-汇总表'!C$19:C$33,A7,'数据-汇总表'!N$19:N$33))</f>
        <v>4662.9799999999996</v>
      </c>
      <c r="T7" s="2228">
        <f t="shared" ref="T7:T13" si="5">IF($T$4="按面积比例",IF(ISERROR(ROUND($M$14*S7/S$16,0)),"0",ROUND($M$14*S7/S$16,0)),"需自行计算录入")</f>
        <v>933</v>
      </c>
      <c r="U7" s="179"/>
      <c r="V7" s="180"/>
      <c r="W7" s="180"/>
      <c r="X7" s="2315"/>
      <c r="Y7" s="181"/>
      <c r="Z7" s="182"/>
      <c r="AA7" s="175"/>
      <c r="AB7" s="175"/>
      <c r="AC7" s="2318"/>
      <c r="AD7" s="183"/>
      <c r="AE7" s="967">
        <f t="shared" ref="AE7:AE13" ca="1" si="6">IF(AN7="",0,SUMIF(INDIRECT("'"&amp;AN7&amp;"'"&amp;"!E:E"),$AE$5,INDIRECT("'"&amp;AN7&amp;"'"&amp;"!F:F")))</f>
        <v>0</v>
      </c>
      <c r="AF7" s="140"/>
      <c r="AG7" s="1208">
        <f t="shared" ref="AG7:AG13" si="7">IF(AF7="",0,AE7-AF7)</f>
        <v>0</v>
      </c>
      <c r="AH7" s="3155"/>
      <c r="AI7" s="185"/>
      <c r="AJ7" s="186"/>
      <c r="AK7" s="187"/>
      <c r="AL7" s="188"/>
      <c r="AM7" s="2408"/>
      <c r="AN7" s="2410"/>
      <c r="AO7" s="1994"/>
      <c r="AP7" s="1199">
        <f t="shared" ref="AP7:AP13" si="8">ROUND(1-1/(1+H7)^F7,3)</f>
        <v>0.95299999999999996</v>
      </c>
      <c r="AQ7" s="1994"/>
      <c r="AR7" s="1994"/>
      <c r="AS7" s="1994"/>
      <c r="AT7" s="1994"/>
      <c r="AU7" s="1994"/>
      <c r="AV7" s="1994"/>
      <c r="AW7" s="1994"/>
      <c r="AX7" s="1994"/>
      <c r="AY7" s="1994"/>
      <c r="AZ7" s="1994"/>
      <c r="BA7" s="1994"/>
      <c r="BB7" s="1994"/>
      <c r="BC7" s="1994"/>
      <c r="BD7" s="1994"/>
      <c r="BE7" s="1994"/>
      <c r="BF7" s="1994"/>
      <c r="BG7" s="1994"/>
      <c r="BH7" s="1994"/>
      <c r="BI7" s="1994"/>
      <c r="BJ7" s="1994"/>
      <c r="BK7" s="1994"/>
      <c r="BL7" s="1994"/>
      <c r="BM7" s="1994"/>
      <c r="BN7" s="1994"/>
      <c r="BO7" s="1994"/>
      <c r="BP7" s="1994"/>
      <c r="BQ7" s="1994"/>
      <c r="BR7" s="1994"/>
      <c r="BS7" s="1994"/>
      <c r="BT7" s="1994"/>
      <c r="BU7" s="1994"/>
      <c r="BV7" s="1994"/>
      <c r="BW7" s="1994"/>
      <c r="BX7" s="1994"/>
      <c r="BY7" s="1994"/>
      <c r="BZ7" s="1994"/>
      <c r="CA7" s="1994"/>
      <c r="CB7" s="1994"/>
      <c r="CC7" s="1994"/>
      <c r="CD7" s="1994"/>
      <c r="CE7" s="1994"/>
    </row>
    <row r="8" spans="1:83" s="1201" customFormat="1" ht="14.25">
      <c r="A8" s="2296" t="str">
        <f>'数据-汇总表'!C21</f>
        <v>底商</v>
      </c>
      <c r="B8" s="2331" t="str">
        <f t="shared" si="1"/>
        <v>经营性</v>
      </c>
      <c r="C8" s="172" t="s">
        <v>2991</v>
      </c>
      <c r="D8" s="2302">
        <f>SUMIF(项目基本情况!D$15:I$15,C8,项目基本情况!D$18:I$18)</f>
        <v>40</v>
      </c>
      <c r="E8" s="2303">
        <f>IF(B8="","",SUMIF(项目基本情况!D$15:I$15,C8,项目基本情况!D$17:I$17))</f>
        <v>57521</v>
      </c>
      <c r="F8" s="173">
        <f>SUMIF(项目基本情况!D$15:I$15,C8,项目基本情况!D$19:I$19)</f>
        <v>39.68</v>
      </c>
      <c r="G8" s="174">
        <f t="shared" si="2"/>
        <v>0.998</v>
      </c>
      <c r="H8" s="3045">
        <v>0.06</v>
      </c>
      <c r="I8" s="3045">
        <v>6.5000000000000002E-2</v>
      </c>
      <c r="J8" s="175">
        <v>0.08</v>
      </c>
      <c r="K8" s="178">
        <f>SUMIF('数据-汇总表'!C$19:C$33,'数据-取费表'!A8,'数据-汇总表'!E$19:E$33)</f>
        <v>7800</v>
      </c>
      <c r="L8" s="3169">
        <v>2800</v>
      </c>
      <c r="M8" s="176">
        <f>ROUND(K8*L8/10000,0)</f>
        <v>2184</v>
      </c>
      <c r="N8" s="3046">
        <v>0</v>
      </c>
      <c r="O8" s="176">
        <f t="shared" si="3"/>
        <v>0</v>
      </c>
      <c r="P8" s="177">
        <f t="shared" si="4"/>
        <v>2184</v>
      </c>
      <c r="Q8" s="3171">
        <v>0.25</v>
      </c>
      <c r="R8" s="178">
        <f>SUMIF('数据-汇总表'!C$19:C$33,A8,'数据-汇总表'!R$19:R$33)</f>
        <v>2554.5300000000002</v>
      </c>
      <c r="S8" s="132">
        <f>IF('数据-汇总表'!$I$17="按面积比例",SUMIF('数据-汇总表'!C$19:C$33,A8,'数据-汇总表'!K$19:K$33),SUMIF('数据-汇总表'!C$19:C$33,A8,'数据-汇总表'!N$19:N$33))</f>
        <v>891.49</v>
      </c>
      <c r="T8" s="2228">
        <f t="shared" si="5"/>
        <v>178</v>
      </c>
      <c r="U8" s="179">
        <v>5.5</v>
      </c>
      <c r="V8" s="180">
        <v>0.03</v>
      </c>
      <c r="W8" s="180">
        <v>0.1</v>
      </c>
      <c r="X8" s="2315"/>
      <c r="Y8" s="181">
        <v>1</v>
      </c>
      <c r="Z8" s="182"/>
      <c r="AA8" s="175"/>
      <c r="AB8" s="175"/>
      <c r="AC8" s="2318"/>
      <c r="AD8" s="183"/>
      <c r="AE8" s="967">
        <f t="shared" ca="1" si="6"/>
        <v>39.68</v>
      </c>
      <c r="AF8" s="140"/>
      <c r="AG8" s="1208">
        <f t="shared" si="7"/>
        <v>0</v>
      </c>
      <c r="AH8" s="3155">
        <f t="shared" ref="AH8:AH11" si="9">K8</f>
        <v>7800</v>
      </c>
      <c r="AI8" s="185">
        <v>365</v>
      </c>
      <c r="AJ8" s="186"/>
      <c r="AK8" s="187">
        <v>1.4999999999999999E-2</v>
      </c>
      <c r="AL8" s="188">
        <v>1.5E-3</v>
      </c>
      <c r="AM8" s="2408">
        <v>0.01</v>
      </c>
      <c r="AN8" s="2410" t="s">
        <v>3213</v>
      </c>
      <c r="AO8" s="1994"/>
      <c r="AP8" s="1199">
        <f t="shared" si="8"/>
        <v>0.90100000000000002</v>
      </c>
      <c r="AQ8" s="1994"/>
      <c r="AR8" s="1994"/>
      <c r="AS8" s="1994"/>
      <c r="AT8" s="1994"/>
      <c r="AU8" s="1994"/>
      <c r="AV8" s="1994"/>
      <c r="AW8" s="1994"/>
      <c r="AX8" s="1994"/>
      <c r="AY8" s="1994"/>
      <c r="AZ8" s="1994"/>
      <c r="BA8" s="1994"/>
      <c r="BB8" s="1994"/>
      <c r="BC8" s="1994"/>
      <c r="BD8" s="1994"/>
      <c r="BE8" s="1994"/>
      <c r="BF8" s="1994"/>
      <c r="BG8" s="1994"/>
      <c r="BH8" s="1994"/>
      <c r="BI8" s="1994"/>
      <c r="BJ8" s="1994"/>
      <c r="BK8" s="1994"/>
      <c r="BL8" s="1994"/>
      <c r="BM8" s="1994"/>
      <c r="BN8" s="1994"/>
      <c r="BO8" s="1994"/>
      <c r="BP8" s="1994"/>
      <c r="BQ8" s="1994"/>
      <c r="BR8" s="1994"/>
      <c r="BS8" s="1994"/>
      <c r="BT8" s="1994"/>
      <c r="BU8" s="1994"/>
      <c r="BV8" s="1994"/>
      <c r="BW8" s="1994"/>
      <c r="BX8" s="1994"/>
      <c r="BY8" s="1994"/>
      <c r="BZ8" s="1994"/>
      <c r="CA8" s="1994"/>
      <c r="CB8" s="1994"/>
      <c r="CC8" s="1994"/>
      <c r="CD8" s="1994"/>
      <c r="CE8" s="1994"/>
    </row>
    <row r="9" spans="1:83" s="1201" customFormat="1" ht="14.25">
      <c r="A9" s="2296" t="str">
        <f>'数据-汇总表'!C22</f>
        <v>独立商业</v>
      </c>
      <c r="B9" s="2331" t="str">
        <f t="shared" si="1"/>
        <v>经营性</v>
      </c>
      <c r="C9" s="172" t="s">
        <v>2991</v>
      </c>
      <c r="D9" s="2302">
        <f>SUMIF(项目基本情况!D$15:I$15,C9,项目基本情况!D$18:I$18)</f>
        <v>40</v>
      </c>
      <c r="E9" s="2303">
        <f>IF(B9="","",SUMIF(项目基本情况!D$15:I$15,C9,项目基本情况!D$17:I$17))</f>
        <v>57521</v>
      </c>
      <c r="F9" s="173">
        <f>SUMIF(项目基本情况!D$15:I$15,C9,项目基本情况!D$19:I$19)</f>
        <v>39.68</v>
      </c>
      <c r="G9" s="174">
        <f t="shared" si="2"/>
        <v>0.998</v>
      </c>
      <c r="H9" s="175">
        <v>0.06</v>
      </c>
      <c r="I9" s="175">
        <v>6.5000000000000002E-2</v>
      </c>
      <c r="J9" s="175">
        <v>0.08</v>
      </c>
      <c r="K9" s="178">
        <f>SUMIF('数据-汇总表'!C$19:C$33,'数据-取费表'!A9,'数据-汇总表'!E$19:E$33)</f>
        <v>44170</v>
      </c>
      <c r="L9" s="3170">
        <f>L8</f>
        <v>2800</v>
      </c>
      <c r="M9" s="176">
        <f t="shared" si="0"/>
        <v>12368</v>
      </c>
      <c r="N9" s="192">
        <v>0</v>
      </c>
      <c r="O9" s="176">
        <f t="shared" si="3"/>
        <v>0</v>
      </c>
      <c r="P9" s="177">
        <f t="shared" si="4"/>
        <v>12368</v>
      </c>
      <c r="Q9" s="3172">
        <v>0.2</v>
      </c>
      <c r="R9" s="178">
        <f>SUMIF('数据-汇总表'!C$19:C$33,A9,'数据-汇总表'!R$19:R$33)</f>
        <v>14465.85</v>
      </c>
      <c r="S9" s="132">
        <f>IF('数据-汇总表'!$I$17="按面积比例",SUMIF('数据-汇总表'!C$19:C$33,A9,'数据-汇总表'!K$19:K$33),SUMIF('数据-汇总表'!C$19:C$33,A9,'数据-汇总表'!N$19:N$33))</f>
        <v>5048.32</v>
      </c>
      <c r="T9" s="2228">
        <f t="shared" si="5"/>
        <v>1010</v>
      </c>
      <c r="U9" s="179">
        <v>4.5</v>
      </c>
      <c r="V9" s="180">
        <v>0.03</v>
      </c>
      <c r="W9" s="180">
        <v>0.1</v>
      </c>
      <c r="X9" s="2315"/>
      <c r="Y9" s="181">
        <v>1</v>
      </c>
      <c r="Z9" s="182"/>
      <c r="AA9" s="175"/>
      <c r="AB9" s="175"/>
      <c r="AC9" s="2318"/>
      <c r="AD9" s="183"/>
      <c r="AE9" s="967">
        <f t="shared" ca="1" si="6"/>
        <v>39.68</v>
      </c>
      <c r="AF9" s="140"/>
      <c r="AG9" s="1208">
        <f t="shared" si="7"/>
        <v>0</v>
      </c>
      <c r="AH9" s="3155">
        <f t="shared" si="9"/>
        <v>44170</v>
      </c>
      <c r="AI9" s="185">
        <v>365</v>
      </c>
      <c r="AJ9" s="186"/>
      <c r="AK9" s="187">
        <v>1.4999999999999999E-2</v>
      </c>
      <c r="AL9" s="188">
        <v>1.5E-3</v>
      </c>
      <c r="AM9" s="2408">
        <v>0.01</v>
      </c>
      <c r="AN9" s="2410" t="s">
        <v>3216</v>
      </c>
      <c r="AO9" s="1994"/>
      <c r="AP9" s="1199">
        <f t="shared" si="8"/>
        <v>0.90100000000000002</v>
      </c>
      <c r="AQ9" s="1994"/>
      <c r="AR9" s="1994"/>
      <c r="AS9" s="1994"/>
      <c r="AT9" s="1994"/>
      <c r="AU9" s="1994"/>
      <c r="AV9" s="1994"/>
      <c r="AW9" s="1994"/>
      <c r="AX9" s="1994"/>
      <c r="AY9" s="1994"/>
      <c r="AZ9" s="1994"/>
      <c r="BA9" s="1994"/>
      <c r="BB9" s="1994"/>
      <c r="BC9" s="1994"/>
      <c r="BD9" s="1994"/>
      <c r="BE9" s="1994"/>
      <c r="BF9" s="1994"/>
      <c r="BG9" s="1994"/>
      <c r="BH9" s="1994"/>
      <c r="BI9" s="1994"/>
      <c r="BJ9" s="1994"/>
      <c r="BK9" s="1994"/>
      <c r="BL9" s="1994"/>
      <c r="BM9" s="1994"/>
      <c r="BN9" s="1994"/>
      <c r="BO9" s="1994"/>
      <c r="BP9" s="1994"/>
      <c r="BQ9" s="1994"/>
      <c r="BR9" s="1994"/>
      <c r="BS9" s="1994"/>
      <c r="BT9" s="1994"/>
      <c r="BU9" s="1994"/>
      <c r="BV9" s="1994"/>
      <c r="BW9" s="1994"/>
      <c r="BX9" s="1994"/>
      <c r="BY9" s="1994"/>
      <c r="BZ9" s="1994"/>
      <c r="CA9" s="1994"/>
      <c r="CB9" s="1994"/>
      <c r="CC9" s="1994"/>
      <c r="CD9" s="1994"/>
      <c r="CE9" s="1994"/>
    </row>
    <row r="10" spans="1:83" s="1201" customFormat="1" ht="14.25">
      <c r="A10" s="2296" t="str">
        <f>'数据-汇总表'!C23</f>
        <v>办公楼</v>
      </c>
      <c r="B10" s="2331" t="str">
        <f t="shared" si="1"/>
        <v>经营性</v>
      </c>
      <c r="C10" s="172" t="s">
        <v>1671</v>
      </c>
      <c r="D10" s="2302">
        <f>SUMIF(项目基本情况!D$15:I$15,C10,项目基本情况!D$18:I$18)</f>
        <v>50</v>
      </c>
      <c r="E10" s="2303">
        <f>IF(B10="","",SUMIF(项目基本情况!D$15:I$15,C10,项目基本情况!D$17:I$17))</f>
        <v>61173</v>
      </c>
      <c r="F10" s="173">
        <f>SUMIF(项目基本情况!D$15:I$15,C10,项目基本情况!D$19:I$19)</f>
        <v>49.69</v>
      </c>
      <c r="G10" s="174">
        <f t="shared" si="2"/>
        <v>0.999</v>
      </c>
      <c r="H10" s="3045">
        <v>5.5E-2</v>
      </c>
      <c r="I10" s="3045">
        <v>0.06</v>
      </c>
      <c r="J10" s="175">
        <v>0.08</v>
      </c>
      <c r="K10" s="178">
        <f>SUMIF('数据-汇总表'!C$19:C$33,'数据-取费表'!A10,'数据-汇总表'!E$19:E$33)</f>
        <v>64080</v>
      </c>
      <c r="L10" s="3212">
        <v>2500</v>
      </c>
      <c r="M10" s="176">
        <f t="shared" si="0"/>
        <v>16020</v>
      </c>
      <c r="N10" s="192">
        <v>0</v>
      </c>
      <c r="O10" s="176">
        <f t="shared" si="3"/>
        <v>0</v>
      </c>
      <c r="P10" s="177">
        <f t="shared" si="4"/>
        <v>16020</v>
      </c>
      <c r="Q10" s="190">
        <v>0.15</v>
      </c>
      <c r="R10" s="178">
        <f>SUMIF('数据-汇总表'!C$19:C$33,A10,'数据-汇总表'!R$19:R$33)</f>
        <v>20986.46</v>
      </c>
      <c r="S10" s="132">
        <f>IF('数据-汇总表'!$I$17="按面积比例",SUMIF('数据-汇总表'!C$19:C$33,A10,'数据-汇总表'!K$19:K$33),SUMIF('数据-汇总表'!C$19:C$33,A10,'数据-汇总表'!N$19:N$33))</f>
        <v>7323.9</v>
      </c>
      <c r="T10" s="2228">
        <f t="shared" si="5"/>
        <v>1465</v>
      </c>
      <c r="U10" s="179">
        <v>3.2</v>
      </c>
      <c r="V10" s="180">
        <v>2.5000000000000001E-2</v>
      </c>
      <c r="W10" s="180">
        <v>0.15</v>
      </c>
      <c r="X10" s="2315"/>
      <c r="Y10" s="181">
        <v>1</v>
      </c>
      <c r="Z10" s="182"/>
      <c r="AA10" s="175"/>
      <c r="AB10" s="175"/>
      <c r="AC10" s="2318"/>
      <c r="AD10" s="183"/>
      <c r="AE10" s="967">
        <f t="shared" ca="1" si="6"/>
        <v>49.69</v>
      </c>
      <c r="AF10" s="140"/>
      <c r="AG10" s="1208">
        <f t="shared" si="7"/>
        <v>0</v>
      </c>
      <c r="AH10" s="3155">
        <f t="shared" si="9"/>
        <v>64080</v>
      </c>
      <c r="AI10" s="185">
        <v>365</v>
      </c>
      <c r="AJ10" s="186"/>
      <c r="AK10" s="187">
        <v>1.4999999999999999E-2</v>
      </c>
      <c r="AL10" s="188">
        <v>1.5E-3</v>
      </c>
      <c r="AM10" s="2408">
        <v>0.01</v>
      </c>
      <c r="AN10" s="2410" t="s">
        <v>3214</v>
      </c>
      <c r="AO10" s="1994"/>
      <c r="AP10" s="1199">
        <f t="shared" si="8"/>
        <v>0.93</v>
      </c>
      <c r="AQ10" s="1994"/>
      <c r="AR10" s="1994"/>
      <c r="AS10" s="1994"/>
      <c r="AT10" s="1994"/>
      <c r="AU10" s="1994"/>
      <c r="AV10" s="1994"/>
      <c r="AW10" s="1994"/>
      <c r="AX10" s="1994"/>
      <c r="AY10" s="1994"/>
      <c r="AZ10" s="1994"/>
      <c r="BA10" s="1994"/>
      <c r="BB10" s="1994"/>
      <c r="BC10" s="1994"/>
      <c r="BD10" s="1994"/>
      <c r="BE10" s="1994"/>
      <c r="BF10" s="1994"/>
      <c r="BG10" s="1994"/>
      <c r="BH10" s="1994"/>
      <c r="BI10" s="1994"/>
      <c r="BJ10" s="1994"/>
      <c r="BK10" s="1994"/>
      <c r="BL10" s="1994"/>
      <c r="BM10" s="1994"/>
      <c r="BN10" s="1994"/>
      <c r="BO10" s="1994"/>
      <c r="BP10" s="1994"/>
      <c r="BQ10" s="1994"/>
      <c r="BR10" s="1994"/>
      <c r="BS10" s="1994"/>
      <c r="BT10" s="1994"/>
      <c r="BU10" s="1994"/>
      <c r="BV10" s="1994"/>
      <c r="BW10" s="1994"/>
      <c r="BX10" s="1994"/>
      <c r="BY10" s="1994"/>
      <c r="BZ10" s="1994"/>
      <c r="CA10" s="1994"/>
      <c r="CB10" s="1994"/>
      <c r="CC10" s="1994"/>
      <c r="CD10" s="1994"/>
      <c r="CE10" s="1994"/>
    </row>
    <row r="11" spans="1:83" s="1201" customFormat="1" ht="14.25">
      <c r="A11" s="2296">
        <f>'数据-汇总表'!C24</f>
        <v>0</v>
      </c>
      <c r="B11" s="2331" t="str">
        <f t="shared" si="1"/>
        <v/>
      </c>
      <c r="C11" s="172" t="s">
        <v>1671</v>
      </c>
      <c r="D11" s="2302">
        <f>SUMIF(项目基本情况!D$15:I$15,C11,项目基本情况!D$18:I$18)</f>
        <v>50</v>
      </c>
      <c r="E11" s="2303" t="str">
        <f>IF(B11="","",SUMIF(项目基本情况!D$15:I$15,C11,项目基本情况!D$17:I$17))</f>
        <v/>
      </c>
      <c r="F11" s="173">
        <f>SUMIF(项目基本情况!D$15:I$15,C11,项目基本情况!D$19:I$19)</f>
        <v>49.69</v>
      </c>
      <c r="G11" s="174">
        <f t="shared" si="2"/>
        <v>0</v>
      </c>
      <c r="H11" s="3045"/>
      <c r="I11" s="3045"/>
      <c r="J11" s="175">
        <v>0.08</v>
      </c>
      <c r="K11" s="178">
        <f>SUMIF('数据-汇总表'!C$19:C$33,'数据-取费表'!A11,'数据-汇总表'!E$19:E$33)</f>
        <v>0</v>
      </c>
      <c r="L11" s="3212"/>
      <c r="M11" s="176">
        <f t="shared" si="0"/>
        <v>0</v>
      </c>
      <c r="N11" s="192">
        <v>0</v>
      </c>
      <c r="O11" s="176">
        <f t="shared" si="3"/>
        <v>0</v>
      </c>
      <c r="P11" s="177">
        <f t="shared" si="4"/>
        <v>0</v>
      </c>
      <c r="Q11" s="190">
        <v>0</v>
      </c>
      <c r="R11" s="178">
        <f>SUMIF('数据-汇总表'!C$19:C$33,A11,'数据-汇总表'!R$19:R$33)</f>
        <v>0</v>
      </c>
      <c r="S11" s="132">
        <f>IF('数据-汇总表'!$I$17="按面积比例",SUMIF('数据-汇总表'!C$19:C$33,A11,'数据-汇总表'!K$19:K$33),SUMIF('数据-汇总表'!C$19:C$33,A11,'数据-汇总表'!N$19:N$33))</f>
        <v>0</v>
      </c>
      <c r="T11" s="2228">
        <f t="shared" si="5"/>
        <v>0</v>
      </c>
      <c r="U11" s="179">
        <v>2.5</v>
      </c>
      <c r="V11" s="180">
        <v>2.5000000000000001E-2</v>
      </c>
      <c r="W11" s="180">
        <v>0.15</v>
      </c>
      <c r="X11" s="2318"/>
      <c r="Y11" s="181">
        <v>1</v>
      </c>
      <c r="Z11" s="193"/>
      <c r="AA11" s="175"/>
      <c r="AB11" s="175"/>
      <c r="AC11" s="2318"/>
      <c r="AD11" s="183"/>
      <c r="AE11" s="967" t="e">
        <f t="shared" ca="1" si="6"/>
        <v>#N/A</v>
      </c>
      <c r="AF11" s="140"/>
      <c r="AG11" s="1208">
        <f t="shared" si="7"/>
        <v>0</v>
      </c>
      <c r="AH11" s="3155">
        <f t="shared" si="9"/>
        <v>0</v>
      </c>
      <c r="AI11" s="185">
        <v>365</v>
      </c>
      <c r="AJ11" s="186"/>
      <c r="AK11" s="187">
        <v>1.4999999999999999E-2</v>
      </c>
      <c r="AL11" s="188">
        <v>1.5E-3</v>
      </c>
      <c r="AM11" s="2408">
        <v>0.01</v>
      </c>
      <c r="AN11" s="2410" t="s">
        <v>3218</v>
      </c>
      <c r="AO11" s="1994"/>
      <c r="AP11" s="1199">
        <f t="shared" si="8"/>
        <v>0</v>
      </c>
      <c r="AQ11" s="1994"/>
      <c r="AR11" s="1994"/>
      <c r="AS11" s="1994"/>
      <c r="AT11" s="1994"/>
      <c r="AU11" s="1994"/>
      <c r="AV11" s="1994"/>
      <c r="AW11" s="1994"/>
      <c r="AX11" s="1994"/>
      <c r="AY11" s="1994"/>
      <c r="AZ11" s="1994"/>
      <c r="BA11" s="1994"/>
      <c r="BB11" s="1994"/>
      <c r="BC11" s="1994"/>
      <c r="BD11" s="1994"/>
      <c r="BE11" s="1994"/>
      <c r="BF11" s="1994"/>
      <c r="BG11" s="1994"/>
      <c r="BH11" s="1994"/>
      <c r="BI11" s="1994"/>
      <c r="BJ11" s="1994"/>
      <c r="BK11" s="1994"/>
      <c r="BL11" s="1994"/>
      <c r="BM11" s="1994"/>
      <c r="BN11" s="1994"/>
      <c r="BO11" s="1994"/>
      <c r="BP11" s="1994"/>
      <c r="BQ11" s="1994"/>
      <c r="BR11" s="1994"/>
      <c r="BS11" s="1994"/>
      <c r="BT11" s="1994"/>
      <c r="BU11" s="1994"/>
      <c r="BV11" s="1994"/>
      <c r="BW11" s="1994"/>
      <c r="BX11" s="1994"/>
      <c r="BY11" s="1994"/>
      <c r="BZ11" s="1994"/>
      <c r="CA11" s="1994"/>
      <c r="CB11" s="1994"/>
      <c r="CC11" s="1994"/>
      <c r="CD11" s="1994"/>
      <c r="CE11" s="1994"/>
    </row>
    <row r="12" spans="1:83" s="1201" customFormat="1" ht="14.25">
      <c r="A12" s="2296" t="str">
        <f>'数据-汇总表'!C25</f>
        <v>车库</v>
      </c>
      <c r="B12" s="2331" t="str">
        <f t="shared" si="1"/>
        <v>经营性</v>
      </c>
      <c r="C12" s="172" t="s">
        <v>3119</v>
      </c>
      <c r="D12" s="2302">
        <f>SUMIF(项目基本情况!D$15:I$15,C12,项目基本情况!D$18:I$18)</f>
        <v>50</v>
      </c>
      <c r="E12" s="2303">
        <f>IF(B12="","",SUMIF(项目基本情况!D$15:I$15,C12,项目基本情况!D$17:I$17))</f>
        <v>61173</v>
      </c>
      <c r="F12" s="173">
        <f>SUMIF(项目基本情况!D$15:I$15,C12,项目基本情况!D$19:I$19)</f>
        <v>49.69</v>
      </c>
      <c r="G12" s="174">
        <f>IF(ISERROR(ROUND(POWER(1+H12,D12-F12)*(POWER(1+H12,F12)-1)/(POWER(1+H12,D12)-1),3)),0,ROUND(POWER(1+H12,D12-F12)*(POWER(1+H12,F12)-1)/(POWER(1+H12,D12)-1),3))</f>
        <v>0.999</v>
      </c>
      <c r="H12" s="3045">
        <v>0.05</v>
      </c>
      <c r="I12" s="3045">
        <v>5.5E-2</v>
      </c>
      <c r="J12" s="175">
        <v>0.08</v>
      </c>
      <c r="K12" s="178">
        <f>SUMIF('数据-汇总表'!C$19:C$33,'数据-取费表'!A12,'数据-汇总表'!E$19:E$33)</f>
        <v>90459.22</v>
      </c>
      <c r="L12" s="3212">
        <v>2200</v>
      </c>
      <c r="M12" s="176">
        <f>ROUND(K12*L12/10000,0)</f>
        <v>19901</v>
      </c>
      <c r="N12" s="192">
        <v>0</v>
      </c>
      <c r="O12" s="176">
        <f t="shared" si="3"/>
        <v>0</v>
      </c>
      <c r="P12" s="177">
        <f t="shared" si="4"/>
        <v>19901</v>
      </c>
      <c r="Q12" s="190">
        <v>0.05</v>
      </c>
      <c r="R12" s="178">
        <f>SUMIF('数据-汇总表'!C$19:C$33,A12,'数据-汇总表'!R$19:R$33)</f>
        <v>29625.759999999998</v>
      </c>
      <c r="S12" s="132">
        <f>IF('数据-汇总表'!$I$17="按面积比例",SUMIF('数据-汇总表'!C$19:C$33,A12,'数据-汇总表'!K$19:K$33),SUMIF('数据-汇总表'!C$19:C$33,A12,'数据-汇总表'!N$19:N$33))</f>
        <v>10338.86</v>
      </c>
      <c r="T12" s="2228">
        <f t="shared" si="5"/>
        <v>2068</v>
      </c>
      <c r="U12" s="179">
        <v>1200</v>
      </c>
      <c r="V12" s="3214">
        <v>2.5000000000000001E-2</v>
      </c>
      <c r="W12" s="180">
        <v>0.15</v>
      </c>
      <c r="X12" s="2318"/>
      <c r="Y12" s="181">
        <v>1</v>
      </c>
      <c r="Z12" s="193"/>
      <c r="AA12" s="175"/>
      <c r="AB12" s="175"/>
      <c r="AC12" s="2318"/>
      <c r="AD12" s="183"/>
      <c r="AE12" s="967">
        <f t="shared" ca="1" si="6"/>
        <v>49.69</v>
      </c>
      <c r="AF12" s="140"/>
      <c r="AG12" s="1208">
        <f t="shared" si="7"/>
        <v>0</v>
      </c>
      <c r="AH12" s="3155">
        <f>面积表!R14+面积表!T19+面积表!T20</f>
        <v>2449</v>
      </c>
      <c r="AI12" s="185">
        <v>12</v>
      </c>
      <c r="AJ12" s="186"/>
      <c r="AK12" s="187">
        <v>1.4999999999999999E-2</v>
      </c>
      <c r="AL12" s="188">
        <v>1.5E-3</v>
      </c>
      <c r="AM12" s="2408">
        <v>0.01</v>
      </c>
      <c r="AN12" s="2410" t="s">
        <v>3219</v>
      </c>
      <c r="AO12" s="1994"/>
      <c r="AP12" s="1199">
        <f t="shared" si="8"/>
        <v>0.91100000000000003</v>
      </c>
      <c r="AQ12" s="1994"/>
      <c r="AR12" s="1994"/>
      <c r="AS12" s="1994"/>
      <c r="AT12" s="1994"/>
      <c r="AU12" s="1994"/>
      <c r="AV12" s="1994"/>
      <c r="AW12" s="1994"/>
      <c r="AX12" s="1994"/>
      <c r="AY12" s="1994"/>
      <c r="AZ12" s="1994"/>
      <c r="BA12" s="1994"/>
      <c r="BB12" s="1994"/>
      <c r="BC12" s="1994"/>
      <c r="BD12" s="1994"/>
      <c r="BE12" s="1994"/>
      <c r="BF12" s="1994"/>
      <c r="BG12" s="1994"/>
      <c r="BH12" s="1994"/>
      <c r="BI12" s="1994"/>
      <c r="BJ12" s="1994"/>
      <c r="BK12" s="1994"/>
      <c r="BL12" s="1994"/>
      <c r="BM12" s="1994"/>
      <c r="BN12" s="1994"/>
      <c r="BO12" s="1994"/>
      <c r="BP12" s="1994"/>
      <c r="BQ12" s="1994"/>
      <c r="BR12" s="1994"/>
      <c r="BS12" s="1994"/>
      <c r="BT12" s="1994"/>
      <c r="BU12" s="1994"/>
      <c r="BV12" s="1994"/>
      <c r="BW12" s="1994"/>
      <c r="BX12" s="1994"/>
      <c r="BY12" s="1994"/>
      <c r="BZ12" s="1994"/>
      <c r="CA12" s="1994"/>
      <c r="CB12" s="1994"/>
      <c r="CC12" s="1994"/>
      <c r="CD12" s="1994"/>
      <c r="CE12" s="1994"/>
    </row>
    <row r="13" spans="1:83" s="1201" customFormat="1" ht="14.25">
      <c r="A13" s="2296">
        <f>'数据-汇总表'!C26</f>
        <v>0</v>
      </c>
      <c r="B13" s="2331" t="str">
        <f t="shared" si="1"/>
        <v/>
      </c>
      <c r="C13" s="172"/>
      <c r="D13" s="2302">
        <f>SUMIF(项目基本情况!D$15:I$15,C13,项目基本情况!D$18:I$18)</f>
        <v>0</v>
      </c>
      <c r="E13" s="2303"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1"/>
      <c r="M13" s="176">
        <f>ROUND(K13*L13/10000,0)</f>
        <v>0</v>
      </c>
      <c r="N13" s="192"/>
      <c r="O13" s="176">
        <f t="shared" si="3"/>
        <v>0</v>
      </c>
      <c r="P13" s="177">
        <f t="shared" si="4"/>
        <v>0</v>
      </c>
      <c r="Q13" s="190"/>
      <c r="R13" s="178">
        <f>SUMIF('数据-汇总表'!C$19:C$33,A13,'数据-汇总表'!R$19:R$33)</f>
        <v>0</v>
      </c>
      <c r="S13" s="132">
        <f>IF('数据-汇总表'!$I$17="按面积比例",SUMIF('数据-汇总表'!C$19:C$33,A13,'数据-汇总表'!K$19:K$33),SUMIF('数据-汇总表'!C$19:C$33,A13,'数据-汇总表'!N$19:N$33))</f>
        <v>0</v>
      </c>
      <c r="T13" s="2228">
        <f t="shared" si="5"/>
        <v>0</v>
      </c>
      <c r="U13" s="179"/>
      <c r="V13" s="180"/>
      <c r="W13" s="180"/>
      <c r="X13" s="2315"/>
      <c r="Y13" s="181"/>
      <c r="Z13" s="182"/>
      <c r="AA13" s="175"/>
      <c r="AB13" s="175"/>
      <c r="AC13" s="2318"/>
      <c r="AD13" s="183"/>
      <c r="AE13" s="967">
        <f t="shared" ca="1" si="6"/>
        <v>0</v>
      </c>
      <c r="AF13" s="140"/>
      <c r="AG13" s="1208">
        <f t="shared" si="7"/>
        <v>0</v>
      </c>
      <c r="AH13" s="140"/>
      <c r="AI13" s="185"/>
      <c r="AJ13" s="186"/>
      <c r="AK13" s="187"/>
      <c r="AL13" s="188"/>
      <c r="AM13" s="2408"/>
      <c r="AN13" s="2410"/>
      <c r="AO13" s="1994"/>
      <c r="AP13" s="1199">
        <f t="shared" si="8"/>
        <v>0</v>
      </c>
      <c r="AQ13" s="1994"/>
      <c r="AR13" s="1994"/>
      <c r="AS13" s="1994"/>
      <c r="AT13" s="1994"/>
      <c r="AU13" s="1994"/>
      <c r="AV13" s="1994"/>
      <c r="AW13" s="1994"/>
      <c r="AX13" s="1994"/>
      <c r="AY13" s="1994"/>
      <c r="AZ13" s="1994"/>
      <c r="BA13" s="1994"/>
      <c r="BB13" s="1994"/>
      <c r="BC13" s="1994"/>
      <c r="BD13" s="1994"/>
      <c r="BE13" s="1994"/>
      <c r="BF13" s="1994"/>
      <c r="BG13" s="1994"/>
      <c r="BH13" s="1994"/>
      <c r="BI13" s="1994"/>
      <c r="BJ13" s="1994"/>
      <c r="BK13" s="1994"/>
      <c r="BL13" s="1994"/>
      <c r="BM13" s="1994"/>
      <c r="BN13" s="1994"/>
      <c r="BO13" s="1994"/>
      <c r="BP13" s="1994"/>
      <c r="BQ13" s="1994"/>
      <c r="BR13" s="1994"/>
      <c r="BS13" s="1994"/>
      <c r="BT13" s="1994"/>
      <c r="BU13" s="1994"/>
      <c r="BV13" s="1994"/>
      <c r="BW13" s="1994"/>
      <c r="BX13" s="1994"/>
      <c r="BY13" s="1994"/>
      <c r="BZ13" s="1994"/>
      <c r="CA13" s="1994"/>
      <c r="CB13" s="1994"/>
      <c r="CC13" s="1994"/>
      <c r="CD13" s="1994"/>
      <c r="CE13" s="1994"/>
    </row>
    <row r="14" spans="1:83" s="1201" customFormat="1" ht="14.25">
      <c r="A14" s="2297" t="s">
        <v>2309</v>
      </c>
      <c r="B14" s="2300" t="s">
        <v>1673</v>
      </c>
      <c r="C14" s="2301" t="s">
        <v>2309</v>
      </c>
      <c r="D14" s="2302"/>
      <c r="E14" s="2303"/>
      <c r="F14" s="173"/>
      <c r="G14" s="174"/>
      <c r="H14" s="2304"/>
      <c r="I14" s="2304"/>
      <c r="J14" s="2304"/>
      <c r="K14" s="178">
        <f>SUMIF('数据-汇总表'!C$19:C$33,'数据-取费表'!A14,'数据-汇总表'!E$19:E$33)</f>
        <v>41792.770000000004</v>
      </c>
      <c r="L14" s="191">
        <v>2000</v>
      </c>
      <c r="M14" s="176">
        <f t="shared" si="0"/>
        <v>8359</v>
      </c>
      <c r="N14" s="192">
        <v>0</v>
      </c>
      <c r="O14" s="176">
        <f t="shared" si="3"/>
        <v>0</v>
      </c>
      <c r="P14" s="177">
        <f t="shared" si="4"/>
        <v>8359</v>
      </c>
      <c r="Q14" s="2312"/>
      <c r="R14" s="178"/>
      <c r="S14" s="132"/>
      <c r="T14" s="2311"/>
      <c r="U14" s="969"/>
      <c r="V14" s="2314"/>
      <c r="W14" s="2314"/>
      <c r="X14" s="2315"/>
      <c r="Y14" s="2316"/>
      <c r="Z14" s="136"/>
      <c r="AA14" s="2317"/>
      <c r="AB14" s="2317"/>
      <c r="AC14" s="2318"/>
      <c r="AD14" s="2315"/>
      <c r="AE14" s="967"/>
      <c r="AF14" s="2290"/>
      <c r="AG14" s="1208"/>
      <c r="AH14" s="2290"/>
      <c r="AI14" s="1566"/>
      <c r="AJ14" s="1566"/>
      <c r="AK14" s="2319"/>
      <c r="AL14" s="2320"/>
      <c r="AM14" s="2321"/>
      <c r="AN14" s="1994"/>
      <c r="AO14" s="1994"/>
      <c r="AQ14" s="1994"/>
      <c r="AR14" s="1994"/>
      <c r="AS14" s="1994"/>
      <c r="AT14" s="1994"/>
      <c r="AU14" s="1994"/>
      <c r="AV14" s="1994"/>
      <c r="AW14" s="1994"/>
      <c r="AX14" s="1994"/>
      <c r="AY14" s="1994"/>
      <c r="AZ14" s="1994"/>
      <c r="BA14" s="1994"/>
      <c r="BB14" s="1994"/>
      <c r="BC14" s="1994"/>
      <c r="BD14" s="1994"/>
      <c r="BE14" s="1994"/>
      <c r="BF14" s="1994"/>
      <c r="BG14" s="1994"/>
      <c r="BH14" s="1994"/>
      <c r="BI14" s="1994"/>
      <c r="BJ14" s="1994"/>
      <c r="BK14" s="1994"/>
      <c r="BL14" s="1994"/>
      <c r="BM14" s="1994"/>
      <c r="BN14" s="1994"/>
      <c r="BO14" s="1994"/>
      <c r="BP14" s="1994"/>
      <c r="BQ14" s="1994"/>
      <c r="BR14" s="1994"/>
      <c r="BS14" s="1994"/>
      <c r="BT14" s="1994"/>
      <c r="BU14" s="1994"/>
      <c r="BV14" s="1994"/>
      <c r="BW14" s="1994"/>
      <c r="BX14" s="1994"/>
      <c r="BY14" s="1994"/>
      <c r="BZ14" s="1994"/>
      <c r="CA14" s="1994"/>
      <c r="CB14" s="1994"/>
      <c r="CC14" s="1994"/>
      <c r="CD14" s="1994"/>
      <c r="CE14" s="1994"/>
    </row>
    <row r="15" spans="1:83" s="1201" customFormat="1" ht="27">
      <c r="A15" s="2306" t="s">
        <v>2311</v>
      </c>
      <c r="B15" s="2300" t="s">
        <v>1673</v>
      </c>
      <c r="C15" s="2301" t="s">
        <v>2310</v>
      </c>
      <c r="D15" s="2302"/>
      <c r="E15" s="2303"/>
      <c r="F15" s="173"/>
      <c r="G15" s="174"/>
      <c r="H15" s="2304"/>
      <c r="I15" s="2304"/>
      <c r="J15" s="2304"/>
      <c r="K15" s="178">
        <f>SUMIF('数据-汇总表'!C$19:C$33,'数据-取费表'!A15,'数据-汇总表'!E$19:E$33)</f>
        <v>5304</v>
      </c>
      <c r="L15" s="2310"/>
      <c r="M15" s="176"/>
      <c r="N15" s="2313"/>
      <c r="O15" s="176"/>
      <c r="P15" s="177"/>
      <c r="Q15" s="2312"/>
      <c r="R15" s="178"/>
      <c r="S15" s="132"/>
      <c r="T15" s="2311"/>
      <c r="U15" s="969"/>
      <c r="V15" s="2314"/>
      <c r="W15" s="2314"/>
      <c r="X15" s="2315"/>
      <c r="Y15" s="2316"/>
      <c r="Z15" s="136"/>
      <c r="AA15" s="2317"/>
      <c r="AB15" s="2317"/>
      <c r="AC15" s="2318"/>
      <c r="AD15" s="2315"/>
      <c r="AE15" s="967"/>
      <c r="AF15" s="2290"/>
      <c r="AG15" s="1208"/>
      <c r="AH15" s="2290"/>
      <c r="AI15" s="1566"/>
      <c r="AJ15" s="1566"/>
      <c r="AK15" s="2319"/>
      <c r="AL15" s="2320"/>
      <c r="AM15" s="2321"/>
      <c r="AN15" s="1994"/>
      <c r="AO15" s="1994"/>
      <c r="AQ15" s="1994"/>
      <c r="AR15" s="1994"/>
      <c r="AS15" s="1994"/>
      <c r="AT15" s="1994"/>
      <c r="AU15" s="1994"/>
      <c r="AV15" s="1994"/>
      <c r="AW15" s="1994"/>
      <c r="AX15" s="1994"/>
      <c r="AY15" s="1994"/>
      <c r="AZ15" s="1994"/>
      <c r="BA15" s="1994"/>
      <c r="BB15" s="1994"/>
      <c r="BC15" s="1994"/>
      <c r="BD15" s="1994"/>
      <c r="BE15" s="1994"/>
      <c r="BF15" s="1994"/>
      <c r="BG15" s="1994"/>
      <c r="BH15" s="1994"/>
      <c r="BI15" s="1994"/>
      <c r="BJ15" s="1994"/>
      <c r="BK15" s="1994"/>
      <c r="BL15" s="1994"/>
      <c r="BM15" s="1994"/>
      <c r="BN15" s="1994"/>
      <c r="BO15" s="1994"/>
      <c r="BP15" s="1994"/>
      <c r="BQ15" s="1994"/>
      <c r="BR15" s="1994"/>
      <c r="BS15" s="1994"/>
      <c r="BT15" s="1994"/>
      <c r="BU15" s="1994"/>
      <c r="BV15" s="1994"/>
      <c r="BW15" s="1994"/>
      <c r="BX15" s="1994"/>
      <c r="BY15" s="1994"/>
      <c r="BZ15" s="1994"/>
      <c r="CA15" s="1994"/>
      <c r="CB15" s="1994"/>
      <c r="CC15" s="1994"/>
      <c r="CD15" s="1994"/>
      <c r="CE15" s="1994"/>
    </row>
    <row r="16" spans="1:83" s="1201" customFormat="1" ht="15.75" thickBot="1">
      <c r="A16" s="194" t="s">
        <v>255</v>
      </c>
      <c r="B16" s="195"/>
      <c r="C16" s="196"/>
      <c r="D16" s="197"/>
      <c r="E16" s="195"/>
      <c r="F16" s="195"/>
      <c r="G16" s="198">
        <f>ROUND(SUMPRODUCT(G6:G13,K6:K13)/SUMPRODUCT((G6:G13&gt;0)*(K6:K13)),3)</f>
        <v>0.999</v>
      </c>
      <c r="H16" s="199">
        <f>ROUND(SUMPRODUCT(H6:H13,K6:K13)/SUMPRODUCT((H6:H13&gt;0)*(K6:K13)),3)</f>
        <v>0.05</v>
      </c>
      <c r="I16" s="200"/>
      <c r="J16" s="200"/>
      <c r="K16" s="201">
        <f>SUM(K6:K15)</f>
        <v>412759.99</v>
      </c>
      <c r="L16" s="202">
        <f>ROUND(M16*10000/SUM(K6:K14),0)</f>
        <v>3024</v>
      </c>
      <c r="M16" s="202">
        <f>SUM(M6:M14)</f>
        <v>123228</v>
      </c>
      <c r="N16" s="203">
        <f>ROUND(SUMPRODUCT(M6:M14,N6:N14)/M16,3)</f>
        <v>0</v>
      </c>
      <c r="O16" s="202">
        <f>SUM(O6:O14)</f>
        <v>0</v>
      </c>
      <c r="P16" s="202">
        <f>SUM(P6:P14)</f>
        <v>123228</v>
      </c>
      <c r="Q16" s="204">
        <f>ROUND(SUMPRODUCT(Q6:Q13,K6:K13)/SUMPRODUCT((Q6:Q13&gt;0)*(K6:K13)),2)</f>
        <v>0.14000000000000001</v>
      </c>
      <c r="R16" s="2305">
        <f>SUM(R6:R13)</f>
        <v>121315.09999999999</v>
      </c>
      <c r="S16" s="205">
        <f>SUM(S6:S13)</f>
        <v>41792.769999999997</v>
      </c>
      <c r="T16" s="206" t="str">
        <f>IF(SUMIF(T6:T13,"&lt;9E307")=M14,SUMIF(T6:T13,"&lt;9E307"),"有误，请检查")</f>
        <v>有误，请检查</v>
      </c>
      <c r="U16" s="207"/>
      <c r="V16" s="208"/>
      <c r="W16" s="208"/>
      <c r="X16" s="211"/>
      <c r="Y16" s="209"/>
      <c r="Z16" s="210"/>
      <c r="AA16" s="208"/>
      <c r="AB16" s="208"/>
      <c r="AC16" s="211"/>
      <c r="AD16" s="211"/>
      <c r="AE16" s="207"/>
      <c r="AF16" s="208"/>
      <c r="AG16" s="209"/>
      <c r="AH16" s="208"/>
      <c r="AI16" s="210"/>
      <c r="AJ16" s="210"/>
      <c r="AK16" s="208"/>
      <c r="AL16" s="208"/>
      <c r="AM16" s="209"/>
      <c r="AN16" s="1994"/>
      <c r="AO16" s="1994"/>
      <c r="AP16" s="1199">
        <f>ROUND(SUMPRODUCT(AP6:AP13,K6:K13)/SUMPRODUCT((AP6:AP13&gt;0)*(K6:K13)),3)</f>
        <v>0.93100000000000005</v>
      </c>
      <c r="AQ16" s="1994"/>
      <c r="AR16" s="1994"/>
      <c r="AS16" s="1994"/>
      <c r="AT16" s="1994"/>
      <c r="AU16" s="1994"/>
      <c r="AV16" s="1994"/>
      <c r="AW16" s="1994"/>
      <c r="AX16" s="1994"/>
      <c r="AY16" s="1994"/>
      <c r="AZ16" s="1994"/>
      <c r="BA16" s="1994"/>
      <c r="BB16" s="1994"/>
      <c r="BC16" s="1994"/>
      <c r="BD16" s="1994"/>
      <c r="BE16" s="1994"/>
      <c r="BF16" s="1994"/>
      <c r="BG16" s="1994"/>
      <c r="BH16" s="1994"/>
      <c r="BI16" s="1994"/>
      <c r="BJ16" s="1994"/>
      <c r="BK16" s="1994"/>
      <c r="BL16" s="1994"/>
      <c r="BM16" s="1994"/>
      <c r="BN16" s="1994"/>
      <c r="BO16" s="1994"/>
      <c r="BP16" s="1994"/>
      <c r="BQ16" s="1994"/>
      <c r="BR16" s="1994"/>
      <c r="BS16" s="1994"/>
      <c r="BT16" s="1994"/>
      <c r="BU16" s="1994"/>
      <c r="BV16" s="1994"/>
      <c r="BW16" s="1994"/>
      <c r="BX16" s="1994"/>
      <c r="BY16" s="1994"/>
      <c r="BZ16" s="1994"/>
      <c r="CA16" s="1994"/>
      <c r="CB16" s="1994"/>
      <c r="CC16" s="1994"/>
      <c r="CD16" s="1994"/>
      <c r="CE16" s="1994"/>
    </row>
    <row r="17" spans="1:83" ht="13.5" thickBot="1">
      <c r="A17" s="1209"/>
      <c r="B17" s="1197"/>
      <c r="C17" s="1983"/>
      <c r="D17" s="1984"/>
      <c r="E17" s="1984"/>
      <c r="F17" s="1983"/>
      <c r="G17" s="1983"/>
      <c r="H17" s="1983"/>
      <c r="I17" s="1983"/>
      <c r="J17" s="1983"/>
      <c r="K17" s="1985"/>
      <c r="L17" s="1985"/>
      <c r="M17" s="1983"/>
      <c r="N17" s="1983"/>
      <c r="O17" s="1983"/>
      <c r="P17" s="1983"/>
      <c r="Q17" s="1983"/>
      <c r="R17" s="1983"/>
      <c r="S17" s="1983"/>
      <c r="T17" s="1983"/>
      <c r="U17" s="1983"/>
      <c r="V17" s="1983"/>
      <c r="W17" s="1983"/>
      <c r="X17" s="1983"/>
      <c r="Y17" s="1983"/>
      <c r="Z17" s="1983"/>
      <c r="AA17" s="1983"/>
      <c r="AB17" s="1983"/>
      <c r="AC17" s="1983"/>
      <c r="AD17" s="1983"/>
      <c r="AE17" s="1983"/>
      <c r="AF17" s="1983"/>
      <c r="AG17" s="1983"/>
      <c r="AH17" s="1983"/>
      <c r="AI17" s="1983"/>
      <c r="AJ17" s="1983"/>
      <c r="AK17" s="1983"/>
      <c r="AL17" s="1983"/>
      <c r="AM17" s="1983"/>
    </row>
    <row r="18" spans="1:83" ht="15" thickBot="1">
      <c r="A18" s="149" t="s">
        <v>256</v>
      </c>
      <c r="B18" s="1199"/>
      <c r="C18" s="1986"/>
      <c r="D18" s="1987"/>
      <c r="E18" s="1986"/>
      <c r="F18" s="1986"/>
      <c r="G18" s="1986"/>
      <c r="H18" s="1986"/>
      <c r="I18" s="1986"/>
      <c r="J18" s="1986"/>
      <c r="K18" s="1985"/>
      <c r="L18" s="1985"/>
      <c r="M18" s="1983"/>
      <c r="N18" s="1983"/>
      <c r="O18" s="1983"/>
      <c r="P18" s="1983"/>
      <c r="Q18" s="1983"/>
      <c r="R18" s="1983"/>
      <c r="S18" s="1983"/>
      <c r="T18" s="1983"/>
      <c r="U18" s="1983"/>
      <c r="V18" s="1983"/>
      <c r="W18" s="1983"/>
      <c r="X18" s="1983"/>
      <c r="Y18" s="1983"/>
      <c r="Z18" s="1983"/>
      <c r="AA18" s="1983"/>
      <c r="AB18" s="1983"/>
      <c r="AC18" s="1983"/>
      <c r="AD18" s="1983"/>
      <c r="AE18" s="1983"/>
      <c r="AF18" s="1983"/>
      <c r="AG18" s="1983"/>
      <c r="AH18" s="1983"/>
      <c r="AI18" s="1983"/>
      <c r="AJ18" s="1983"/>
      <c r="AK18" s="1983"/>
      <c r="AL18" s="1983"/>
      <c r="AM18" s="1983"/>
    </row>
    <row r="19" spans="1:83" ht="14.25">
      <c r="A19" s="213" t="s">
        <v>257</v>
      </c>
      <c r="B19" s="214"/>
      <c r="C19" s="2358" t="s">
        <v>2330</v>
      </c>
      <c r="D19" s="1987"/>
      <c r="E19" s="1986"/>
      <c r="F19" s="1986"/>
      <c r="G19" s="1986"/>
      <c r="H19" s="1986"/>
      <c r="I19" s="1986"/>
      <c r="J19" s="1986"/>
      <c r="K19" s="1985"/>
      <c r="L19" s="1985"/>
      <c r="M19" s="1983"/>
      <c r="N19" s="1983"/>
      <c r="O19" s="1983"/>
      <c r="P19" s="1983"/>
      <c r="Q19" s="1983"/>
      <c r="R19" s="1983"/>
      <c r="S19" s="1983"/>
      <c r="T19" s="1983"/>
      <c r="U19" s="1983"/>
      <c r="V19" s="1983"/>
      <c r="W19" s="1983"/>
      <c r="X19" s="1983"/>
      <c r="Y19" s="1983"/>
      <c r="Z19" s="1983"/>
      <c r="AA19" s="1983"/>
      <c r="AB19" s="1983"/>
      <c r="AC19" s="1983"/>
      <c r="AD19" s="1983"/>
      <c r="AE19" s="1983"/>
      <c r="AF19" s="1983"/>
      <c r="AG19" s="1983"/>
      <c r="AH19" s="1983"/>
      <c r="AI19" s="1983"/>
      <c r="AJ19" s="1983"/>
      <c r="AK19" s="1983"/>
      <c r="AL19" s="1983"/>
      <c r="AM19" s="1983"/>
    </row>
    <row r="20" spans="1:83" ht="14.25">
      <c r="A20" s="215" t="s">
        <v>258</v>
      </c>
      <c r="B20" s="3215">
        <v>3</v>
      </c>
      <c r="C20" s="2358" t="s">
        <v>2329</v>
      </c>
      <c r="D20" s="1987"/>
      <c r="E20" s="1986"/>
      <c r="F20" s="1986"/>
      <c r="G20" s="1986"/>
      <c r="H20" s="1986"/>
      <c r="I20" s="1986"/>
      <c r="J20" s="1986"/>
      <c r="K20" s="1985"/>
      <c r="L20" s="1985"/>
      <c r="M20" s="1983"/>
      <c r="N20" s="1983"/>
      <c r="O20" s="1983"/>
      <c r="P20" s="1983"/>
      <c r="Q20" s="1983"/>
      <c r="R20" s="1983"/>
      <c r="S20" s="1983"/>
      <c r="T20" s="1983"/>
      <c r="U20" s="1983"/>
      <c r="V20" s="1983"/>
      <c r="W20" s="1983"/>
      <c r="X20" s="1983"/>
      <c r="Y20" s="1983"/>
      <c r="Z20" s="1983"/>
      <c r="AA20" s="1983"/>
      <c r="AB20" s="1983"/>
      <c r="AC20" s="1983"/>
      <c r="AD20" s="1983"/>
      <c r="AE20" s="1983"/>
      <c r="AF20" s="1983"/>
      <c r="AG20" s="1983"/>
      <c r="AH20" s="1983"/>
      <c r="AI20" s="1983"/>
      <c r="AJ20" s="1983"/>
      <c r="AK20" s="1983"/>
      <c r="AL20" s="1983"/>
      <c r="AM20" s="1983"/>
    </row>
    <row r="21" spans="1:83" ht="14.25">
      <c r="A21" s="217" t="s">
        <v>259</v>
      </c>
      <c r="B21" s="216">
        <v>0</v>
      </c>
      <c r="C21" s="1986"/>
      <c r="D21" s="1987"/>
      <c r="E21" s="1986"/>
      <c r="F21" s="1986"/>
      <c r="G21" s="1986"/>
      <c r="H21" s="1986"/>
      <c r="I21" s="1986"/>
      <c r="J21" s="1986"/>
      <c r="K21" s="1985"/>
      <c r="L21" s="1985"/>
      <c r="M21" s="1983"/>
      <c r="N21" s="1983"/>
      <c r="O21" s="1983"/>
      <c r="P21" s="1983"/>
      <c r="Q21" s="1983"/>
      <c r="R21" s="1983"/>
      <c r="S21" s="1983"/>
      <c r="T21" s="1983"/>
      <c r="U21" s="1983"/>
      <c r="V21" s="1983"/>
      <c r="W21" s="1983"/>
      <c r="X21" s="1983"/>
      <c r="Y21" s="1983"/>
      <c r="Z21" s="1983"/>
      <c r="AA21" s="1983"/>
      <c r="AB21" s="1983"/>
      <c r="AC21" s="1983"/>
      <c r="AD21" s="1983"/>
      <c r="AE21" s="1983"/>
      <c r="AF21" s="1983"/>
      <c r="AG21" s="1983"/>
      <c r="AH21" s="1983"/>
      <c r="AI21" s="1983"/>
      <c r="AJ21" s="1983"/>
      <c r="AK21" s="1983"/>
      <c r="AL21" s="1983"/>
      <c r="AM21" s="1983"/>
    </row>
    <row r="22" spans="1:83" ht="14.25">
      <c r="A22" s="215" t="s">
        <v>260</v>
      </c>
      <c r="B22" s="218">
        <f>B19+B20</f>
        <v>3</v>
      </c>
      <c r="C22" s="1986"/>
      <c r="D22" s="1987"/>
      <c r="E22" s="1986"/>
      <c r="F22" s="1986"/>
      <c r="G22" s="1986"/>
      <c r="H22" s="1986"/>
      <c r="I22" s="1986"/>
      <c r="J22" s="1986"/>
      <c r="K22" s="1985"/>
      <c r="L22" s="1985"/>
      <c r="M22" s="1983"/>
      <c r="N22" s="1983"/>
      <c r="O22" s="1983"/>
      <c r="P22" s="1983"/>
      <c r="Q22" s="1983"/>
      <c r="R22" s="1983"/>
      <c r="S22" s="1983"/>
      <c r="T22" s="1983"/>
      <c r="U22" s="1983"/>
      <c r="V22" s="1983"/>
      <c r="W22" s="1983"/>
      <c r="X22" s="1983"/>
      <c r="Y22" s="1983"/>
      <c r="Z22" s="1983"/>
      <c r="AA22" s="1983"/>
      <c r="AB22" s="1983"/>
      <c r="AC22" s="1983"/>
      <c r="AD22" s="1983"/>
      <c r="AE22" s="1983"/>
      <c r="AF22" s="1983"/>
      <c r="AG22" s="1983"/>
      <c r="AH22" s="1983"/>
      <c r="AI22" s="1983"/>
      <c r="AJ22" s="1983"/>
      <c r="AK22" s="1983"/>
      <c r="AL22" s="1983"/>
      <c r="AM22" s="1983"/>
    </row>
    <row r="23" spans="1:83" ht="14.25">
      <c r="A23" s="217" t="s">
        <v>261</v>
      </c>
      <c r="B23" s="218">
        <f>B19+B21</f>
        <v>0</v>
      </c>
      <c r="C23" s="1986"/>
      <c r="D23" s="1987"/>
      <c r="E23" s="1986"/>
      <c r="F23" s="1986"/>
      <c r="G23" s="1986"/>
      <c r="H23" s="1986"/>
      <c r="I23" s="1986"/>
      <c r="J23" s="1986"/>
      <c r="K23" s="1985"/>
      <c r="L23" s="1985"/>
      <c r="M23" s="1983"/>
      <c r="N23" s="1983"/>
      <c r="O23" s="1983"/>
      <c r="P23" s="1983"/>
      <c r="Q23" s="1983"/>
      <c r="R23" s="1983"/>
      <c r="S23" s="1983"/>
      <c r="T23" s="1983"/>
      <c r="U23" s="1983"/>
      <c r="V23" s="1983"/>
      <c r="W23" s="1983"/>
      <c r="X23" s="1983"/>
      <c r="Y23" s="1983"/>
      <c r="Z23" s="1983"/>
      <c r="AA23" s="1983"/>
      <c r="AB23" s="1983"/>
      <c r="AC23" s="1983"/>
      <c r="AD23" s="1983"/>
      <c r="AE23" s="1983"/>
      <c r="AF23" s="1983"/>
      <c r="AG23" s="1983"/>
      <c r="AH23" s="1983"/>
      <c r="AI23" s="1983"/>
      <c r="AJ23" s="1983"/>
      <c r="AK23" s="1983"/>
      <c r="AL23" s="1983"/>
      <c r="AM23" s="1983"/>
    </row>
    <row r="24" spans="1:83" ht="15" thickBot="1">
      <c r="A24" s="219" t="s">
        <v>262</v>
      </c>
      <c r="B24" s="220">
        <f>B20-B21</f>
        <v>3</v>
      </c>
      <c r="C24" s="1986"/>
      <c r="D24" s="1987"/>
      <c r="E24" s="1986"/>
      <c r="F24" s="1986"/>
      <c r="G24" s="1986"/>
      <c r="H24" s="1986"/>
      <c r="I24" s="1986"/>
      <c r="J24" s="1986"/>
      <c r="K24" s="1985"/>
      <c r="L24" s="1985"/>
      <c r="M24" s="1983"/>
      <c r="N24" s="1983"/>
      <c r="O24" s="1983"/>
      <c r="P24" s="1983"/>
      <c r="Q24" s="1983"/>
      <c r="R24" s="1983"/>
      <c r="S24" s="1983"/>
      <c r="T24" s="1983"/>
      <c r="U24" s="1983"/>
      <c r="V24" s="1983"/>
      <c r="W24" s="1983"/>
      <c r="X24" s="1983"/>
      <c r="Y24" s="1983"/>
      <c r="Z24" s="1983"/>
      <c r="AA24" s="1983"/>
      <c r="AB24" s="1983"/>
      <c r="AC24" s="1983"/>
      <c r="AD24" s="1983"/>
      <c r="AE24" s="1983"/>
      <c r="AF24" s="1983"/>
      <c r="AG24" s="1983"/>
      <c r="AH24" s="1983"/>
      <c r="AI24" s="1983"/>
      <c r="AJ24" s="1983"/>
      <c r="AK24" s="1983"/>
      <c r="AL24" s="1983"/>
      <c r="AM24" s="1983"/>
    </row>
    <row r="25" spans="1:83" ht="15" thickBot="1">
      <c r="A25" s="1202"/>
      <c r="B25" s="1199"/>
      <c r="C25" s="1986"/>
      <c r="D25" s="1987"/>
      <c r="E25" s="1986"/>
      <c r="F25" s="1986"/>
      <c r="G25" s="1986"/>
      <c r="H25" s="1986"/>
      <c r="I25" s="1986"/>
      <c r="J25" s="1986"/>
      <c r="K25" s="1985"/>
      <c r="L25" s="1985"/>
      <c r="M25" s="1983"/>
      <c r="N25" s="1983"/>
      <c r="O25" s="1983"/>
      <c r="P25" s="1983"/>
      <c r="Q25" s="1983"/>
      <c r="R25" s="1983"/>
      <c r="S25" s="1983"/>
      <c r="T25" s="1983"/>
      <c r="U25" s="1983"/>
      <c r="V25" s="1983"/>
      <c r="W25" s="1983"/>
      <c r="X25" s="1983"/>
      <c r="Y25" s="1983"/>
      <c r="Z25" s="1983"/>
      <c r="AA25" s="1983"/>
      <c r="AB25" s="1983"/>
      <c r="AC25" s="1983"/>
      <c r="AD25" s="1983"/>
      <c r="AE25" s="1983"/>
      <c r="AF25" s="1983"/>
      <c r="AG25" s="1983"/>
      <c r="AH25" s="1983"/>
      <c r="AI25" s="1983"/>
      <c r="AJ25" s="1983"/>
      <c r="AK25" s="1983"/>
      <c r="AL25" s="1983"/>
      <c r="AM25" s="1983"/>
    </row>
    <row r="26" spans="1:83" ht="15" thickBot="1">
      <c r="A26" s="148" t="s">
        <v>263</v>
      </c>
      <c r="B26" s="221" t="s">
        <v>264</v>
      </c>
      <c r="C26" s="1989" t="s">
        <v>265</v>
      </c>
      <c r="D26" s="1987"/>
      <c r="E26" s="1986"/>
      <c r="F26" s="1986"/>
      <c r="G26" s="1986"/>
      <c r="H26" s="1986"/>
      <c r="I26" s="1986"/>
      <c r="J26" s="1986"/>
      <c r="K26" s="1985"/>
      <c r="L26" s="1985"/>
      <c r="M26" s="1983"/>
      <c r="N26" s="1983"/>
      <c r="O26" s="1983"/>
      <c r="P26" s="1983"/>
      <c r="Q26" s="1983"/>
      <c r="R26" s="1983"/>
      <c r="S26" s="1983"/>
      <c r="T26" s="1983"/>
      <c r="U26" s="1983"/>
      <c r="V26" s="1983"/>
      <c r="W26" s="1983"/>
      <c r="X26" s="1983"/>
      <c r="Y26" s="1983"/>
      <c r="Z26" s="1983"/>
      <c r="AA26" s="1983"/>
      <c r="AB26" s="1983"/>
      <c r="AC26" s="1983"/>
      <c r="AD26" s="1983"/>
      <c r="AE26" s="1983"/>
      <c r="AF26" s="1983"/>
      <c r="AG26" s="1983"/>
      <c r="AH26" s="1983"/>
      <c r="AI26" s="1983"/>
      <c r="AJ26" s="1983"/>
      <c r="AK26" s="1983"/>
      <c r="AL26" s="1983"/>
      <c r="AM26" s="1983"/>
    </row>
    <row r="27" spans="1:83" s="1210" customFormat="1" ht="27.75">
      <c r="A27" s="222" t="s">
        <v>2332</v>
      </c>
      <c r="B27" s="3208">
        <v>290</v>
      </c>
      <c r="C27" s="2361" t="s">
        <v>2336</v>
      </c>
      <c r="D27" s="1990"/>
      <c r="E27" s="1988"/>
      <c r="F27" s="1988"/>
      <c r="G27" s="1986"/>
      <c r="H27" s="1986"/>
      <c r="I27" s="1986"/>
      <c r="J27" s="1986"/>
      <c r="K27" s="1985"/>
      <c r="L27" s="1985"/>
      <c r="M27" s="1983"/>
      <c r="N27" s="1983"/>
      <c r="O27" s="1983"/>
      <c r="P27" s="1983"/>
      <c r="Q27" s="1983"/>
      <c r="R27" s="1983"/>
      <c r="S27" s="1983"/>
      <c r="T27" s="1983"/>
      <c r="U27" s="1983"/>
      <c r="V27" s="1983"/>
      <c r="W27" s="1983"/>
      <c r="X27" s="1983"/>
      <c r="Y27" s="1983"/>
      <c r="Z27" s="1983"/>
      <c r="AA27" s="1983"/>
      <c r="AB27" s="1983"/>
      <c r="AC27" s="1983"/>
      <c r="AD27" s="1983"/>
      <c r="AE27" s="1983"/>
      <c r="AF27" s="1983"/>
      <c r="AG27" s="1983"/>
      <c r="AH27" s="1983"/>
      <c r="AI27" s="1983"/>
      <c r="AJ27" s="1983"/>
      <c r="AK27" s="1983"/>
      <c r="AL27" s="1983"/>
      <c r="AM27" s="1983"/>
      <c r="AN27" s="1991"/>
      <c r="AO27" s="1991"/>
      <c r="AP27" s="1991"/>
      <c r="AQ27" s="1991"/>
      <c r="AR27" s="1991"/>
      <c r="AS27" s="1991"/>
      <c r="AT27" s="1991"/>
      <c r="AU27" s="1991"/>
      <c r="AV27" s="1991"/>
      <c r="AW27" s="1991"/>
      <c r="AX27" s="1991"/>
      <c r="AY27" s="1991"/>
      <c r="AZ27" s="1991"/>
      <c r="BA27" s="1991"/>
      <c r="BB27" s="1991"/>
      <c r="BC27" s="1991"/>
      <c r="BD27" s="1991"/>
      <c r="BE27" s="1991"/>
      <c r="BF27" s="1991"/>
      <c r="BG27" s="1991"/>
      <c r="BH27" s="1991"/>
      <c r="BI27" s="1991"/>
      <c r="BJ27" s="1991"/>
      <c r="BK27" s="1991"/>
      <c r="BL27" s="1991"/>
      <c r="BM27" s="1991"/>
      <c r="BN27" s="1991"/>
      <c r="BO27" s="1991"/>
      <c r="BP27" s="1991"/>
      <c r="BQ27" s="1991"/>
      <c r="BR27" s="1991"/>
      <c r="BS27" s="1991"/>
      <c r="BT27" s="1991"/>
      <c r="BU27" s="1991"/>
      <c r="BV27" s="1991"/>
      <c r="BW27" s="1991"/>
      <c r="BX27" s="1991"/>
      <c r="BY27" s="1991"/>
      <c r="BZ27" s="1991"/>
      <c r="CA27" s="1991"/>
      <c r="CB27" s="1991"/>
      <c r="CC27" s="1991"/>
      <c r="CD27" s="1991"/>
      <c r="CE27" s="1991"/>
    </row>
    <row r="28" spans="1:83" s="1210" customFormat="1" ht="27.75">
      <c r="A28" s="223" t="s">
        <v>2333</v>
      </c>
      <c r="B28" s="3209">
        <v>320</v>
      </c>
      <c r="C28" s="2360"/>
      <c r="D28" s="1990"/>
      <c r="E28" s="1988"/>
      <c r="F28" s="1988"/>
      <c r="G28" s="1986"/>
      <c r="H28" s="1986"/>
      <c r="I28" s="1986"/>
      <c r="J28" s="1986"/>
      <c r="K28" s="1985"/>
      <c r="L28" s="1985"/>
      <c r="M28" s="1983"/>
      <c r="N28" s="1983"/>
      <c r="O28" s="1983"/>
      <c r="P28" s="1983"/>
      <c r="Q28" s="1983"/>
      <c r="R28" s="1983"/>
      <c r="S28" s="1983"/>
      <c r="T28" s="1983"/>
      <c r="U28" s="1983"/>
      <c r="V28" s="1983"/>
      <c r="W28" s="1983"/>
      <c r="X28" s="1983"/>
      <c r="Y28" s="1983"/>
      <c r="Z28" s="1983"/>
      <c r="AA28" s="1983"/>
      <c r="AB28" s="1983"/>
      <c r="AC28" s="1983"/>
      <c r="AD28" s="1983"/>
      <c r="AE28" s="1983"/>
      <c r="AF28" s="1983"/>
      <c r="AG28" s="1983"/>
      <c r="AH28" s="1983"/>
      <c r="AI28" s="1983"/>
      <c r="AJ28" s="1983"/>
      <c r="AK28" s="1983"/>
      <c r="AL28" s="1983"/>
      <c r="AM28" s="1983"/>
      <c r="AN28" s="1991"/>
      <c r="AO28" s="1991"/>
      <c r="AP28" s="1991"/>
      <c r="AQ28" s="1991"/>
      <c r="AR28" s="1991"/>
      <c r="AS28" s="1991"/>
      <c r="AT28" s="1991"/>
      <c r="AU28" s="1991"/>
      <c r="AV28" s="1991"/>
      <c r="AW28" s="1991"/>
      <c r="AX28" s="1991"/>
      <c r="AY28" s="1991"/>
      <c r="AZ28" s="1991"/>
      <c r="BA28" s="1991"/>
      <c r="BB28" s="1991"/>
      <c r="BC28" s="1991"/>
      <c r="BD28" s="1991"/>
      <c r="BE28" s="1991"/>
      <c r="BF28" s="1991"/>
      <c r="BG28" s="1991"/>
      <c r="BH28" s="1991"/>
      <c r="BI28" s="1991"/>
      <c r="BJ28" s="1991"/>
      <c r="BK28" s="1991"/>
      <c r="BL28" s="1991"/>
      <c r="BM28" s="1991"/>
      <c r="BN28" s="1991"/>
      <c r="BO28" s="1991"/>
      <c r="BP28" s="1991"/>
      <c r="BQ28" s="1991"/>
      <c r="BR28" s="1991"/>
      <c r="BS28" s="1991"/>
      <c r="BT28" s="1991"/>
      <c r="BU28" s="1991"/>
      <c r="BV28" s="1991"/>
      <c r="BW28" s="1991"/>
      <c r="BX28" s="1991"/>
      <c r="BY28" s="1991"/>
      <c r="BZ28" s="1991"/>
      <c r="CA28" s="1991"/>
      <c r="CB28" s="1991"/>
      <c r="CC28" s="1991"/>
      <c r="CD28" s="1991"/>
      <c r="CE28" s="1991"/>
    </row>
    <row r="29" spans="1:83" s="1210" customFormat="1" ht="28.5" thickBot="1">
      <c r="A29" s="226" t="s">
        <v>2331</v>
      </c>
      <c r="B29" s="227"/>
      <c r="C29" s="1547" t="s">
        <v>2334</v>
      </c>
      <c r="D29" s="1990"/>
      <c r="E29" s="1988"/>
      <c r="F29" s="1988"/>
      <c r="G29" s="1986"/>
      <c r="H29" s="1986"/>
      <c r="I29" s="1986"/>
      <c r="J29" s="1986"/>
      <c r="K29" s="1985"/>
      <c r="L29" s="1985"/>
      <c r="M29" s="1983"/>
      <c r="N29" s="1983"/>
      <c r="O29" s="1983"/>
      <c r="P29" s="1983"/>
      <c r="Q29" s="1983"/>
      <c r="R29" s="1983"/>
      <c r="S29" s="1983"/>
      <c r="T29" s="1983"/>
      <c r="U29" s="1983"/>
      <c r="V29" s="1983"/>
      <c r="W29" s="1983"/>
      <c r="X29" s="1983"/>
      <c r="Y29" s="1983"/>
      <c r="Z29" s="1983"/>
      <c r="AA29" s="1983"/>
      <c r="AB29" s="1983"/>
      <c r="AC29" s="1983"/>
      <c r="AD29" s="1983"/>
      <c r="AE29" s="1983"/>
      <c r="AF29" s="1983"/>
      <c r="AG29" s="1983"/>
      <c r="AH29" s="1983"/>
      <c r="AI29" s="1983"/>
      <c r="AJ29" s="1983"/>
      <c r="AK29" s="1983"/>
      <c r="AL29" s="1983"/>
      <c r="AM29" s="1983"/>
      <c r="AN29" s="1991"/>
      <c r="AO29" s="1991"/>
      <c r="AP29" s="1991"/>
      <c r="AQ29" s="1991"/>
      <c r="AR29" s="1991"/>
      <c r="AS29" s="1991"/>
      <c r="AT29" s="1991"/>
      <c r="AU29" s="1991"/>
      <c r="AV29" s="1991"/>
      <c r="AW29" s="1991"/>
      <c r="AX29" s="1991"/>
      <c r="AY29" s="1991"/>
      <c r="AZ29" s="1991"/>
      <c r="BA29" s="1991"/>
      <c r="BB29" s="1991"/>
      <c r="BC29" s="1991"/>
      <c r="BD29" s="1991"/>
      <c r="BE29" s="1991"/>
      <c r="BF29" s="1991"/>
      <c r="BG29" s="1991"/>
      <c r="BH29" s="1991"/>
      <c r="BI29" s="1991"/>
      <c r="BJ29" s="1991"/>
      <c r="BK29" s="1991"/>
      <c r="BL29" s="1991"/>
      <c r="BM29" s="1991"/>
      <c r="BN29" s="1991"/>
      <c r="BO29" s="1991"/>
      <c r="BP29" s="1991"/>
      <c r="BQ29" s="1991"/>
      <c r="BR29" s="1991"/>
      <c r="BS29" s="1991"/>
      <c r="BT29" s="1991"/>
      <c r="BU29" s="1991"/>
      <c r="BV29" s="1991"/>
      <c r="BW29" s="1991"/>
      <c r="BX29" s="1991"/>
      <c r="BY29" s="1991"/>
      <c r="BZ29" s="1991"/>
      <c r="CA29" s="1991"/>
      <c r="CB29" s="1991"/>
      <c r="CC29" s="1991"/>
      <c r="CD29" s="1991"/>
      <c r="CE29" s="1991"/>
    </row>
    <row r="30" spans="1:83" s="1210" customFormat="1" ht="27">
      <c r="A30" s="230" t="s">
        <v>266</v>
      </c>
      <c r="B30" s="973">
        <v>200</v>
      </c>
      <c r="C30" s="2360"/>
      <c r="D30" s="1990"/>
      <c r="E30" s="1988"/>
      <c r="F30" s="1988"/>
      <c r="G30" s="1986"/>
      <c r="H30" s="1986"/>
      <c r="I30" s="1986"/>
      <c r="J30" s="1986"/>
      <c r="K30" s="1985"/>
      <c r="L30" s="1985"/>
      <c r="M30" s="1983"/>
      <c r="N30" s="1983"/>
      <c r="O30" s="1983"/>
      <c r="P30" s="1983"/>
      <c r="Q30" s="1983"/>
      <c r="R30" s="1983"/>
      <c r="S30" s="1983"/>
      <c r="T30" s="1983"/>
      <c r="U30" s="1983"/>
      <c r="V30" s="1983"/>
      <c r="W30" s="1983"/>
      <c r="X30" s="1983"/>
      <c r="Y30" s="1983"/>
      <c r="Z30" s="1983"/>
      <c r="AA30" s="1983"/>
      <c r="AB30" s="1983"/>
      <c r="AC30" s="1983"/>
      <c r="AD30" s="1983"/>
      <c r="AE30" s="1983"/>
      <c r="AF30" s="1983"/>
      <c r="AG30" s="1983"/>
      <c r="AH30" s="1983"/>
      <c r="AI30" s="1983"/>
      <c r="AJ30" s="1983"/>
      <c r="AK30" s="1983"/>
      <c r="AL30" s="1983"/>
      <c r="AM30" s="1983"/>
      <c r="AN30" s="1991"/>
      <c r="AO30" s="1991"/>
      <c r="AP30" s="1991"/>
      <c r="AQ30" s="1991"/>
      <c r="AR30" s="1991"/>
      <c r="AS30" s="1991"/>
      <c r="AT30" s="1991"/>
      <c r="AU30" s="1991"/>
      <c r="AV30" s="1991"/>
      <c r="AW30" s="1991"/>
      <c r="AX30" s="1991"/>
      <c r="AY30" s="1991"/>
      <c r="AZ30" s="1991"/>
      <c r="BA30" s="1991"/>
      <c r="BB30" s="1991"/>
      <c r="BC30" s="1991"/>
      <c r="BD30" s="1991"/>
      <c r="BE30" s="1991"/>
      <c r="BF30" s="1991"/>
      <c r="BG30" s="1991"/>
      <c r="BH30" s="1991"/>
      <c r="BI30" s="1991"/>
      <c r="BJ30" s="1991"/>
      <c r="BK30" s="1991"/>
      <c r="BL30" s="1991"/>
      <c r="BM30" s="1991"/>
      <c r="BN30" s="1991"/>
      <c r="BO30" s="1991"/>
      <c r="BP30" s="1991"/>
      <c r="BQ30" s="1991"/>
      <c r="BR30" s="1991"/>
      <c r="BS30" s="1991"/>
      <c r="BT30" s="1991"/>
      <c r="BU30" s="1991"/>
      <c r="BV30" s="1991"/>
      <c r="BW30" s="1991"/>
      <c r="BX30" s="1991"/>
      <c r="BY30" s="1991"/>
      <c r="BZ30" s="1991"/>
      <c r="CA30" s="1991"/>
      <c r="CB30" s="1991"/>
      <c r="CC30" s="1991"/>
      <c r="CD30" s="1991"/>
      <c r="CE30" s="1991"/>
    </row>
    <row r="31" spans="1:83" s="1210" customFormat="1" ht="27">
      <c r="A31" s="223" t="s">
        <v>267</v>
      </c>
      <c r="B31" s="225">
        <f>B30-B32</f>
        <v>100</v>
      </c>
      <c r="C31" s="2361"/>
      <c r="D31" s="1990"/>
      <c r="E31" s="1988"/>
      <c r="F31" s="1988"/>
      <c r="G31" s="1986"/>
      <c r="H31" s="1986"/>
      <c r="I31" s="1986"/>
      <c r="J31" s="1986"/>
      <c r="K31" s="1985"/>
      <c r="L31" s="1985"/>
      <c r="M31" s="1983"/>
      <c r="N31" s="1983"/>
      <c r="O31" s="1983"/>
      <c r="P31" s="1983"/>
      <c r="Q31" s="1983"/>
      <c r="R31" s="1983"/>
      <c r="S31" s="1983"/>
      <c r="T31" s="1983"/>
      <c r="U31" s="1983"/>
      <c r="V31" s="1983"/>
      <c r="W31" s="1983"/>
      <c r="X31" s="1983"/>
      <c r="Y31" s="1983"/>
      <c r="Z31" s="1983"/>
      <c r="AA31" s="1983"/>
      <c r="AB31" s="1983"/>
      <c r="AC31" s="1983"/>
      <c r="AD31" s="1983"/>
      <c r="AE31" s="1983"/>
      <c r="AF31" s="1983"/>
      <c r="AG31" s="1983"/>
      <c r="AH31" s="1983"/>
      <c r="AI31" s="1983"/>
      <c r="AJ31" s="1983"/>
      <c r="AK31" s="1983"/>
      <c r="AL31" s="1983"/>
      <c r="AM31" s="1983"/>
      <c r="AN31" s="1991"/>
      <c r="AO31" s="1991"/>
      <c r="AP31" s="1991"/>
      <c r="AQ31" s="1991"/>
      <c r="AR31" s="1991"/>
      <c r="AS31" s="1991"/>
      <c r="AT31" s="1991"/>
      <c r="AU31" s="1991"/>
      <c r="AV31" s="1991"/>
      <c r="AW31" s="1991"/>
      <c r="AX31" s="1991"/>
      <c r="AY31" s="1991"/>
      <c r="AZ31" s="1991"/>
      <c r="BA31" s="1991"/>
      <c r="BB31" s="1991"/>
      <c r="BC31" s="1991"/>
      <c r="BD31" s="1991"/>
      <c r="BE31" s="1991"/>
      <c r="BF31" s="1991"/>
      <c r="BG31" s="1991"/>
      <c r="BH31" s="1991"/>
      <c r="BI31" s="1991"/>
      <c r="BJ31" s="1991"/>
      <c r="BK31" s="1991"/>
      <c r="BL31" s="1991"/>
      <c r="BM31" s="1991"/>
      <c r="BN31" s="1991"/>
      <c r="BO31" s="1991"/>
      <c r="BP31" s="1991"/>
      <c r="BQ31" s="1991"/>
      <c r="BR31" s="1991"/>
      <c r="BS31" s="1991"/>
      <c r="BT31" s="1991"/>
      <c r="BU31" s="1991"/>
      <c r="BV31" s="1991"/>
      <c r="BW31" s="1991"/>
      <c r="BX31" s="1991"/>
      <c r="BY31" s="1991"/>
      <c r="BZ31" s="1991"/>
      <c r="CA31" s="1991"/>
      <c r="CB31" s="1991"/>
      <c r="CC31" s="1991"/>
      <c r="CD31" s="1991"/>
      <c r="CE31" s="1991"/>
    </row>
    <row r="32" spans="1:83" s="1210" customFormat="1" ht="27.75" thickBot="1">
      <c r="A32" s="232" t="s">
        <v>268</v>
      </c>
      <c r="B32" s="1372">
        <v>100</v>
      </c>
      <c r="C32" s="2360"/>
      <c r="D32" s="1987"/>
      <c r="E32" s="1986"/>
      <c r="F32" s="1986"/>
      <c r="G32" s="1986"/>
      <c r="H32" s="1986"/>
      <c r="I32" s="1986"/>
      <c r="J32" s="1986"/>
      <c r="K32" s="1985"/>
      <c r="L32" s="1985"/>
      <c r="M32" s="1983"/>
      <c r="N32" s="1983"/>
      <c r="O32" s="1983"/>
      <c r="P32" s="1983"/>
      <c r="Q32" s="1983"/>
      <c r="R32" s="1983"/>
      <c r="S32" s="1983"/>
      <c r="T32" s="1983"/>
      <c r="U32" s="1983"/>
      <c r="V32" s="1983"/>
      <c r="W32" s="1983"/>
      <c r="X32" s="1983"/>
      <c r="Y32" s="1983"/>
      <c r="Z32" s="1983"/>
      <c r="AA32" s="1983"/>
      <c r="AB32" s="1983"/>
      <c r="AC32" s="1983"/>
      <c r="AD32" s="1983"/>
      <c r="AE32" s="1983"/>
      <c r="AF32" s="1983"/>
      <c r="AG32" s="1983"/>
      <c r="AH32" s="1983"/>
      <c r="AI32" s="1983"/>
      <c r="AJ32" s="1983"/>
      <c r="AK32" s="1983"/>
      <c r="AL32" s="1983"/>
      <c r="AM32" s="1983"/>
      <c r="AN32" s="1991"/>
      <c r="AO32" s="1991"/>
      <c r="AP32" s="1991"/>
      <c r="AQ32" s="1991"/>
      <c r="AR32" s="1991"/>
      <c r="AS32" s="1991"/>
      <c r="AT32" s="1991"/>
      <c r="AU32" s="1991"/>
      <c r="AV32" s="1991"/>
      <c r="AW32" s="1991"/>
      <c r="AX32" s="1991"/>
      <c r="AY32" s="1991"/>
      <c r="AZ32" s="1991"/>
      <c r="BA32" s="1991"/>
      <c r="BB32" s="1991"/>
      <c r="BC32" s="1991"/>
      <c r="BD32" s="1991"/>
      <c r="BE32" s="1991"/>
      <c r="BF32" s="1991"/>
      <c r="BG32" s="1991"/>
      <c r="BH32" s="1991"/>
      <c r="BI32" s="1991"/>
      <c r="BJ32" s="1991"/>
      <c r="BK32" s="1991"/>
      <c r="BL32" s="1991"/>
      <c r="BM32" s="1991"/>
      <c r="BN32" s="1991"/>
      <c r="BO32" s="1991"/>
      <c r="BP32" s="1991"/>
      <c r="BQ32" s="1991"/>
      <c r="BR32" s="1991"/>
      <c r="BS32" s="1991"/>
      <c r="BT32" s="1991"/>
      <c r="BU32" s="1991"/>
      <c r="BV32" s="1991"/>
      <c r="BW32" s="1991"/>
      <c r="BX32" s="1991"/>
      <c r="BY32" s="1991"/>
      <c r="BZ32" s="1991"/>
      <c r="CA32" s="1991"/>
      <c r="CB32" s="1991"/>
      <c r="CC32" s="1991"/>
      <c r="CD32" s="1991"/>
      <c r="CE32" s="1991"/>
    </row>
    <row r="33" spans="1:83" s="1210" customFormat="1" ht="14.25">
      <c r="A33" s="222" t="s">
        <v>271</v>
      </c>
      <c r="B33" s="1373">
        <v>0.05</v>
      </c>
      <c r="C33" s="2359" t="s">
        <v>2890</v>
      </c>
      <c r="D33" s="1990"/>
      <c r="E33" s="1988"/>
      <c r="F33" s="1988"/>
      <c r="G33" s="1986"/>
      <c r="H33" s="1986"/>
      <c r="I33" s="1986"/>
      <c r="J33" s="1986"/>
      <c r="K33" s="1985"/>
      <c r="L33" s="1985"/>
      <c r="M33" s="1983"/>
      <c r="N33" s="1983"/>
      <c r="O33" s="1983"/>
      <c r="P33" s="1983"/>
      <c r="Q33" s="1983"/>
      <c r="R33" s="1983"/>
      <c r="S33" s="1983"/>
      <c r="T33" s="1983"/>
      <c r="U33" s="1983"/>
      <c r="V33" s="1983"/>
      <c r="W33" s="1983"/>
      <c r="X33" s="1983"/>
      <c r="Y33" s="1983"/>
      <c r="Z33" s="1983"/>
      <c r="AA33" s="1983"/>
      <c r="AB33" s="1983"/>
      <c r="AC33" s="1983"/>
      <c r="AD33" s="1983"/>
      <c r="AE33" s="1983"/>
      <c r="AF33" s="1983"/>
      <c r="AG33" s="1983"/>
      <c r="AH33" s="1983"/>
      <c r="AI33" s="1983"/>
      <c r="AJ33" s="1983"/>
      <c r="AK33" s="1983"/>
      <c r="AL33" s="1983"/>
      <c r="AM33" s="1983"/>
      <c r="AN33" s="1991"/>
      <c r="AO33" s="1991"/>
      <c r="AP33" s="1991"/>
      <c r="AQ33" s="1991"/>
      <c r="AR33" s="1991"/>
      <c r="AS33" s="1991"/>
      <c r="AT33" s="1991"/>
      <c r="AU33" s="1991"/>
      <c r="AV33" s="1991"/>
      <c r="AW33" s="1991"/>
      <c r="AX33" s="1991"/>
      <c r="AY33" s="1991"/>
      <c r="AZ33" s="1991"/>
      <c r="BA33" s="1991"/>
      <c r="BB33" s="1991"/>
      <c r="BC33" s="1991"/>
      <c r="BD33" s="1991"/>
      <c r="BE33" s="1991"/>
      <c r="BF33" s="1991"/>
      <c r="BG33" s="1991"/>
      <c r="BH33" s="1991"/>
      <c r="BI33" s="1991"/>
      <c r="BJ33" s="1991"/>
      <c r="BK33" s="1991"/>
      <c r="BL33" s="1991"/>
      <c r="BM33" s="1991"/>
      <c r="BN33" s="1991"/>
      <c r="BO33" s="1991"/>
      <c r="BP33" s="1991"/>
      <c r="BQ33" s="1991"/>
      <c r="BR33" s="1991"/>
      <c r="BS33" s="1991"/>
      <c r="BT33" s="1991"/>
      <c r="BU33" s="1991"/>
      <c r="BV33" s="1991"/>
      <c r="BW33" s="1991"/>
      <c r="BX33" s="1991"/>
      <c r="BY33" s="1991"/>
      <c r="BZ33" s="1991"/>
      <c r="CA33" s="1991"/>
      <c r="CB33" s="1991"/>
      <c r="CC33" s="1991"/>
      <c r="CD33" s="1991"/>
      <c r="CE33" s="1991"/>
    </row>
    <row r="34" spans="1:83" ht="14.25">
      <c r="A34" s="223" t="s">
        <v>272</v>
      </c>
      <c r="B34" s="228">
        <v>0.03</v>
      </c>
      <c r="C34" s="2359" t="s">
        <v>2891</v>
      </c>
      <c r="D34" s="1987" t="s">
        <v>864</v>
      </c>
      <c r="E34" s="1983"/>
      <c r="F34" s="1986"/>
      <c r="G34" s="1986"/>
      <c r="H34" s="1986"/>
      <c r="I34" s="1986"/>
      <c r="J34" s="1986"/>
      <c r="K34" s="1985"/>
      <c r="L34" s="1985"/>
      <c r="M34" s="1983"/>
      <c r="N34" s="1983"/>
      <c r="O34" s="1983"/>
      <c r="P34" s="1983"/>
      <c r="Q34" s="1983"/>
      <c r="R34" s="1983"/>
      <c r="S34" s="1983"/>
      <c r="T34" s="1983"/>
      <c r="U34" s="1983"/>
      <c r="V34" s="1983"/>
      <c r="W34" s="1983"/>
      <c r="X34" s="1983"/>
      <c r="Y34" s="1983"/>
      <c r="Z34" s="1983"/>
      <c r="AA34" s="1983"/>
      <c r="AB34" s="1983"/>
      <c r="AC34" s="1983"/>
      <c r="AD34" s="1983"/>
      <c r="AE34" s="1983"/>
      <c r="AF34" s="1983"/>
      <c r="AG34" s="1983"/>
      <c r="AH34" s="1983"/>
      <c r="AI34" s="1983"/>
      <c r="AJ34" s="1983"/>
      <c r="AK34" s="1983"/>
      <c r="AL34" s="1983"/>
      <c r="AM34" s="1983"/>
    </row>
    <row r="35" spans="1:83" ht="14.25">
      <c r="A35" s="223" t="s">
        <v>269</v>
      </c>
      <c r="B35" s="224">
        <f>B30</f>
        <v>200</v>
      </c>
      <c r="C35" s="2359" t="s">
        <v>2892</v>
      </c>
      <c r="D35" s="1987"/>
      <c r="E35" s="1986"/>
      <c r="F35" s="1986"/>
      <c r="G35" s="1986"/>
      <c r="H35" s="1986"/>
      <c r="I35" s="1986"/>
      <c r="J35" s="1986"/>
      <c r="K35" s="1985"/>
      <c r="L35" s="1985"/>
      <c r="M35" s="1983"/>
      <c r="N35" s="1983"/>
      <c r="O35" s="1983"/>
      <c r="P35" s="1983"/>
      <c r="Q35" s="1983"/>
      <c r="R35" s="1983"/>
      <c r="S35" s="1983"/>
      <c r="T35" s="1983"/>
      <c r="U35" s="1983"/>
      <c r="V35" s="1983"/>
      <c r="W35" s="1983"/>
      <c r="X35" s="1983"/>
      <c r="Y35" s="1983"/>
      <c r="Z35" s="1983"/>
      <c r="AA35" s="1983"/>
      <c r="AB35" s="1983"/>
      <c r="AC35" s="1983"/>
      <c r="AD35" s="1983"/>
      <c r="AE35" s="1983"/>
      <c r="AF35" s="1983"/>
      <c r="AG35" s="1983"/>
      <c r="AH35" s="1983"/>
      <c r="AI35" s="1983"/>
      <c r="AJ35" s="1983"/>
      <c r="AK35" s="1983"/>
      <c r="AL35" s="1983"/>
      <c r="AM35" s="1983"/>
    </row>
    <row r="36" spans="1:83" ht="15" thickBot="1">
      <c r="A36" s="226" t="s">
        <v>270</v>
      </c>
      <c r="B36" s="229">
        <v>1.4999999999999999E-2</v>
      </c>
      <c r="C36" s="2359" t="s">
        <v>2893</v>
      </c>
      <c r="D36" s="1984"/>
      <c r="E36" s="1197"/>
      <c r="F36" s="1986"/>
      <c r="G36" s="1986"/>
      <c r="H36" s="1986"/>
      <c r="I36" s="1986"/>
      <c r="J36" s="1986"/>
      <c r="K36" s="1985"/>
      <c r="L36" s="1985"/>
      <c r="M36" s="1983"/>
      <c r="N36" s="1983"/>
      <c r="O36" s="1983"/>
      <c r="P36" s="1983"/>
      <c r="Q36" s="1983"/>
      <c r="R36" s="1983"/>
      <c r="S36" s="1983"/>
      <c r="T36" s="1983"/>
      <c r="U36" s="1983"/>
      <c r="V36" s="1983"/>
      <c r="W36" s="1983"/>
      <c r="X36" s="1983"/>
      <c r="Y36" s="1983"/>
      <c r="Z36" s="1983"/>
      <c r="AA36" s="1983"/>
      <c r="AB36" s="1983"/>
      <c r="AC36" s="1983"/>
      <c r="AD36" s="1983"/>
      <c r="AE36" s="1983"/>
      <c r="AF36" s="1983"/>
      <c r="AG36" s="1983"/>
      <c r="AH36" s="1983"/>
      <c r="AI36" s="1983"/>
      <c r="AJ36" s="1983"/>
      <c r="AK36" s="1983"/>
      <c r="AL36" s="1983"/>
      <c r="AM36" s="1983"/>
    </row>
    <row r="37" spans="1:83" ht="14.25">
      <c r="A37" s="230" t="s">
        <v>273</v>
      </c>
      <c r="B37" s="231">
        <v>0.02</v>
      </c>
      <c r="C37" s="2359" t="s">
        <v>2894</v>
      </c>
      <c r="D37" s="1987"/>
      <c r="E37" s="1986"/>
      <c r="F37" s="1986"/>
      <c r="G37" s="1986"/>
      <c r="H37" s="1986"/>
      <c r="I37" s="1986"/>
      <c r="J37" s="1986"/>
      <c r="K37" s="1985"/>
      <c r="L37" s="1985"/>
      <c r="M37" s="1983"/>
      <c r="N37" s="1983"/>
      <c r="O37" s="1983"/>
      <c r="P37" s="1983"/>
      <c r="Q37" s="1983"/>
      <c r="R37" s="1983"/>
      <c r="S37" s="1983"/>
      <c r="T37" s="1983"/>
      <c r="U37" s="1983"/>
      <c r="V37" s="1983"/>
      <c r="W37" s="1983"/>
      <c r="X37" s="1983"/>
      <c r="Y37" s="1983"/>
      <c r="Z37" s="1983"/>
      <c r="AA37" s="1983"/>
      <c r="AB37" s="1983"/>
      <c r="AC37" s="1983"/>
      <c r="AD37" s="1983"/>
      <c r="AE37" s="1983"/>
      <c r="AF37" s="1983"/>
      <c r="AG37" s="1983"/>
      <c r="AH37" s="1983"/>
      <c r="AI37" s="1983"/>
      <c r="AJ37" s="1983"/>
      <c r="AK37" s="1983"/>
      <c r="AL37" s="1983"/>
      <c r="AM37" s="1983"/>
    </row>
    <row r="38" spans="1:83" ht="14.25">
      <c r="A38" s="223" t="s">
        <v>274</v>
      </c>
      <c r="B38" s="228">
        <v>0.02</v>
      </c>
      <c r="C38" s="2359" t="s">
        <v>2894</v>
      </c>
      <c r="D38" s="1987"/>
      <c r="E38" s="1986"/>
      <c r="F38" s="1986"/>
      <c r="G38" s="1986"/>
      <c r="H38" s="1986"/>
      <c r="I38" s="1986"/>
      <c r="J38" s="1986"/>
      <c r="K38" s="1985"/>
      <c r="L38" s="1985"/>
      <c r="M38" s="1983"/>
      <c r="N38" s="1983"/>
      <c r="O38" s="1983"/>
      <c r="P38" s="1983"/>
      <c r="Q38" s="1983"/>
      <c r="R38" s="1983"/>
      <c r="S38" s="1983"/>
      <c r="T38" s="1983"/>
      <c r="U38" s="1983"/>
      <c r="V38" s="1983"/>
      <c r="W38" s="1983"/>
      <c r="X38" s="1983"/>
      <c r="Y38" s="1983"/>
      <c r="Z38" s="1983"/>
      <c r="AA38" s="1983"/>
      <c r="AB38" s="1983"/>
      <c r="AC38" s="1983"/>
      <c r="AD38" s="1983"/>
      <c r="AE38" s="1983"/>
      <c r="AF38" s="1983"/>
      <c r="AG38" s="1983"/>
      <c r="AH38" s="1983"/>
      <c r="AI38" s="1983"/>
      <c r="AJ38" s="1983"/>
      <c r="AK38" s="1983"/>
      <c r="AL38" s="1983"/>
      <c r="AM38" s="1983"/>
    </row>
    <row r="39" spans="1:83" ht="14.25">
      <c r="A39" s="2507" t="s">
        <v>2452</v>
      </c>
      <c r="B39" s="796">
        <f ca="1">存贷款利率!C4</f>
        <v>1.4999999999999999E-2</v>
      </c>
      <c r="C39" s="2359"/>
      <c r="D39" s="1987"/>
      <c r="E39" s="1986"/>
      <c r="F39" s="1986"/>
      <c r="G39" s="1986"/>
      <c r="H39" s="1986"/>
      <c r="I39" s="1986"/>
      <c r="J39" s="1986"/>
      <c r="K39" s="1985"/>
      <c r="L39" s="1985"/>
      <c r="M39" s="1983"/>
      <c r="N39" s="1983"/>
      <c r="O39" s="1983"/>
      <c r="P39" s="1983"/>
      <c r="Q39" s="1983"/>
      <c r="R39" s="1983"/>
      <c r="S39" s="1983"/>
      <c r="T39" s="1983"/>
      <c r="U39" s="1983"/>
      <c r="V39" s="1983"/>
      <c r="W39" s="1983"/>
      <c r="X39" s="1983"/>
      <c r="Y39" s="1983"/>
      <c r="Z39" s="1983"/>
      <c r="AA39" s="1983"/>
      <c r="AB39" s="1983"/>
      <c r="AC39" s="1983"/>
      <c r="AD39" s="1983"/>
      <c r="AE39" s="1983"/>
      <c r="AF39" s="1983"/>
      <c r="AG39" s="1983"/>
      <c r="AH39" s="1983"/>
      <c r="AI39" s="1983"/>
      <c r="AJ39" s="1983"/>
      <c r="AK39" s="1983"/>
      <c r="AL39" s="1983"/>
      <c r="AM39" s="1983"/>
    </row>
    <row r="40" spans="1:83" ht="15" thickBot="1">
      <c r="A40" s="2507" t="s">
        <v>2453</v>
      </c>
      <c r="B40" s="2499">
        <f ca="1">存贷款利率!E2</f>
        <v>4.7500000000000001E-2</v>
      </c>
      <c r="C40" s="2359" t="s">
        <v>2335</v>
      </c>
      <c r="D40" s="1987"/>
      <c r="E40" s="1986"/>
      <c r="F40" s="1986"/>
      <c r="G40" s="1986"/>
      <c r="H40" s="1986"/>
      <c r="I40" s="1986"/>
      <c r="J40" s="1986"/>
      <c r="K40" s="1985"/>
      <c r="L40" s="1985"/>
      <c r="M40" s="1983"/>
      <c r="N40" s="1983"/>
      <c r="O40" s="1983"/>
      <c r="P40" s="1983"/>
      <c r="Q40" s="1983"/>
      <c r="R40" s="1983"/>
      <c r="S40" s="1983"/>
      <c r="T40" s="1983"/>
      <c r="U40" s="1983"/>
      <c r="V40" s="1983"/>
      <c r="W40" s="1983"/>
      <c r="X40" s="1983"/>
      <c r="Y40" s="1983"/>
      <c r="Z40" s="1983"/>
      <c r="AA40" s="1983"/>
      <c r="AB40" s="1983"/>
      <c r="AC40" s="1983"/>
      <c r="AD40" s="1983"/>
      <c r="AE40" s="1983"/>
      <c r="AF40" s="1983"/>
      <c r="AG40" s="1983"/>
      <c r="AH40" s="1983"/>
      <c r="AI40" s="1983"/>
      <c r="AJ40" s="1983"/>
      <c r="AK40" s="1983"/>
      <c r="AL40" s="1983"/>
      <c r="AM40" s="1983"/>
    </row>
    <row r="41" spans="1:83" ht="14.25">
      <c r="A41" s="222" t="s">
        <v>275</v>
      </c>
      <c r="B41" s="233">
        <f>B42+B43</f>
        <v>5.6000000000000001E-2</v>
      </c>
      <c r="C41" s="2361"/>
      <c r="D41" s="1987"/>
      <c r="E41" s="1986"/>
      <c r="F41" s="1986"/>
      <c r="G41" s="1986"/>
      <c r="H41" s="1986"/>
      <c r="I41" s="1986"/>
      <c r="J41" s="1986"/>
      <c r="K41" s="1985"/>
      <c r="L41" s="1985"/>
      <c r="M41" s="1983"/>
      <c r="N41" s="1983"/>
      <c r="O41" s="1983"/>
      <c r="P41" s="1983"/>
      <c r="Q41" s="1983"/>
      <c r="R41" s="1983"/>
      <c r="S41" s="1983"/>
      <c r="T41" s="1983"/>
      <c r="U41" s="1983"/>
      <c r="V41" s="1983"/>
      <c r="W41" s="1983"/>
      <c r="X41" s="1983"/>
      <c r="Y41" s="1983"/>
      <c r="Z41" s="1983"/>
      <c r="AA41" s="1983"/>
      <c r="AB41" s="1983"/>
      <c r="AC41" s="1983"/>
      <c r="AD41" s="1983"/>
      <c r="AE41" s="1983"/>
      <c r="AF41" s="1983"/>
      <c r="AG41" s="1983"/>
      <c r="AH41" s="1983"/>
      <c r="AI41" s="1983"/>
      <c r="AJ41" s="1983"/>
      <c r="AK41" s="1983"/>
      <c r="AL41" s="1983"/>
      <c r="AM41" s="1983"/>
    </row>
    <row r="42" spans="1:83" ht="14.25">
      <c r="A42" s="974" t="s">
        <v>276</v>
      </c>
      <c r="B42" s="235">
        <v>0.05</v>
      </c>
      <c r="C42" s="3116">
        <f>IF(B2&lt;DATE(2016,5,1),0,B42)</f>
        <v>0.05</v>
      </c>
      <c r="D42" s="1987"/>
      <c r="E42" s="1986"/>
      <c r="F42" s="1986"/>
      <c r="G42" s="1986"/>
      <c r="H42" s="1986"/>
      <c r="I42" s="1986"/>
      <c r="J42" s="1986"/>
      <c r="K42" s="1985"/>
      <c r="L42" s="1985"/>
      <c r="M42" s="1983"/>
      <c r="N42" s="1983"/>
      <c r="O42" s="1983"/>
      <c r="P42" s="1983"/>
      <c r="Q42" s="1983"/>
      <c r="R42" s="1983"/>
      <c r="S42" s="1983"/>
      <c r="T42" s="1983"/>
      <c r="U42" s="1983"/>
      <c r="V42" s="1983"/>
      <c r="W42" s="1983"/>
      <c r="X42" s="1983"/>
      <c r="Y42" s="1983"/>
      <c r="Z42" s="1983"/>
      <c r="AA42" s="1983"/>
      <c r="AB42" s="1983"/>
      <c r="AC42" s="1983"/>
      <c r="AD42" s="1983"/>
      <c r="AE42" s="1983"/>
      <c r="AF42" s="1983"/>
      <c r="AG42" s="1983"/>
      <c r="AH42" s="1983"/>
      <c r="AI42" s="1983"/>
      <c r="AJ42" s="1983"/>
      <c r="AK42" s="1983"/>
      <c r="AL42" s="1983"/>
      <c r="AM42" s="1983"/>
    </row>
    <row r="43" spans="1:83" ht="14.25">
      <c r="A43" s="974" t="s">
        <v>277</v>
      </c>
      <c r="B43" s="236">
        <f>B42*(B44+B45+B46)+B47</f>
        <v>6.000000000000001E-3</v>
      </c>
      <c r="C43" s="2361"/>
      <c r="D43" s="1987"/>
      <c r="E43" s="1986"/>
      <c r="F43" s="1986"/>
      <c r="G43" s="1986"/>
      <c r="H43" s="1986"/>
      <c r="I43" s="1986"/>
      <c r="J43" s="1986"/>
      <c r="K43" s="1985"/>
      <c r="L43" s="1985"/>
      <c r="M43" s="1983"/>
      <c r="N43" s="1983"/>
      <c r="O43" s="1983"/>
      <c r="P43" s="1983"/>
      <c r="Q43" s="1983"/>
      <c r="R43" s="1983"/>
      <c r="S43" s="1983"/>
      <c r="T43" s="1983"/>
      <c r="U43" s="1983"/>
      <c r="V43" s="1983"/>
      <c r="W43" s="1983"/>
      <c r="X43" s="1983"/>
      <c r="Y43" s="1983"/>
      <c r="Z43" s="1983"/>
      <c r="AA43" s="1983"/>
      <c r="AB43" s="1983"/>
      <c r="AC43" s="1983"/>
      <c r="AD43" s="1983"/>
      <c r="AE43" s="1983"/>
      <c r="AF43" s="1983"/>
      <c r="AG43" s="1983"/>
      <c r="AH43" s="1983"/>
      <c r="AI43" s="1983"/>
      <c r="AJ43" s="1983"/>
      <c r="AK43" s="1983"/>
      <c r="AL43" s="1983"/>
      <c r="AM43" s="1983"/>
    </row>
    <row r="44" spans="1:83" ht="14.25">
      <c r="A44" s="234" t="s">
        <v>278</v>
      </c>
      <c r="B44" s="237">
        <v>7.0000000000000007E-2</v>
      </c>
      <c r="C44" s="2359" t="s">
        <v>2895</v>
      </c>
      <c r="D44" s="1987"/>
      <c r="E44" s="1986"/>
      <c r="F44" s="1986"/>
      <c r="G44" s="1986"/>
      <c r="H44" s="1986"/>
      <c r="I44" s="1986"/>
      <c r="J44" s="1986"/>
      <c r="K44" s="1985"/>
      <c r="L44" s="1985"/>
      <c r="M44" s="1983"/>
      <c r="N44" s="1983"/>
      <c r="O44" s="1983"/>
      <c r="P44" s="1983"/>
      <c r="Q44" s="1983"/>
      <c r="R44" s="1983"/>
      <c r="S44" s="1983"/>
      <c r="T44" s="1983"/>
      <c r="U44" s="1983"/>
      <c r="V44" s="1983"/>
      <c r="W44" s="1983"/>
      <c r="X44" s="1983"/>
      <c r="Y44" s="1983"/>
      <c r="Z44" s="1983"/>
      <c r="AA44" s="1983"/>
      <c r="AB44" s="1983"/>
      <c r="AC44" s="1983"/>
      <c r="AD44" s="1983"/>
      <c r="AE44" s="1983"/>
      <c r="AF44" s="1983"/>
      <c r="AG44" s="1983"/>
      <c r="AH44" s="1983"/>
      <c r="AI44" s="1983"/>
      <c r="AJ44" s="1983"/>
      <c r="AK44" s="1983"/>
      <c r="AL44" s="1983"/>
      <c r="AM44" s="1983"/>
    </row>
    <row r="45" spans="1:83" ht="14.25">
      <c r="A45" s="234" t="s">
        <v>279</v>
      </c>
      <c r="B45" s="235">
        <v>0.03</v>
      </c>
      <c r="C45" s="2361" t="s">
        <v>2896</v>
      </c>
      <c r="D45" s="1987"/>
      <c r="E45" s="1986"/>
      <c r="F45" s="1986"/>
      <c r="G45" s="1986"/>
      <c r="H45" s="1986"/>
      <c r="I45" s="1986"/>
      <c r="J45" s="1986"/>
      <c r="K45" s="1985"/>
      <c r="L45" s="1985"/>
      <c r="M45" s="1983"/>
      <c r="N45" s="1983"/>
      <c r="O45" s="1983"/>
      <c r="P45" s="1983"/>
      <c r="Q45" s="1983"/>
      <c r="R45" s="1983"/>
      <c r="S45" s="1983"/>
      <c r="T45" s="1983"/>
      <c r="U45" s="1983"/>
      <c r="V45" s="1983"/>
      <c r="W45" s="1983"/>
      <c r="X45" s="1983"/>
      <c r="Y45" s="1983"/>
      <c r="Z45" s="1983"/>
      <c r="AA45" s="1983"/>
      <c r="AB45" s="1983"/>
      <c r="AC45" s="1983"/>
      <c r="AD45" s="1983"/>
      <c r="AE45" s="1983"/>
      <c r="AF45" s="1983"/>
      <c r="AG45" s="1983"/>
      <c r="AH45" s="1983"/>
      <c r="AI45" s="1983"/>
      <c r="AJ45" s="1983"/>
      <c r="AK45" s="1983"/>
      <c r="AL45" s="1983"/>
      <c r="AM45" s="1983"/>
    </row>
    <row r="46" spans="1:83" ht="14.25">
      <c r="A46" s="234" t="s">
        <v>280</v>
      </c>
      <c r="B46" s="235">
        <v>0.02</v>
      </c>
      <c r="C46" s="2361" t="s">
        <v>2897</v>
      </c>
      <c r="D46" s="1987"/>
      <c r="E46" s="1986"/>
      <c r="F46" s="1986"/>
      <c r="G46" s="1986"/>
      <c r="H46" s="1986"/>
      <c r="I46" s="1986"/>
      <c r="J46" s="1986"/>
      <c r="K46" s="1985"/>
      <c r="L46" s="1985"/>
      <c r="M46" s="1983"/>
      <c r="N46" s="1983"/>
      <c r="O46" s="1983"/>
      <c r="P46" s="1983"/>
      <c r="Q46" s="1983"/>
      <c r="R46" s="1983"/>
      <c r="S46" s="1983"/>
      <c r="T46" s="1983"/>
      <c r="U46" s="1983"/>
      <c r="V46" s="1983"/>
      <c r="W46" s="1983"/>
      <c r="X46" s="1983"/>
      <c r="Y46" s="1983"/>
      <c r="Z46" s="1983"/>
      <c r="AA46" s="1983"/>
      <c r="AB46" s="1983"/>
      <c r="AC46" s="1983"/>
      <c r="AD46" s="1983"/>
      <c r="AE46" s="1983"/>
      <c r="AF46" s="1983"/>
      <c r="AG46" s="1983"/>
      <c r="AH46" s="1983"/>
      <c r="AI46" s="1983"/>
      <c r="AJ46" s="1983"/>
      <c r="AK46" s="1983"/>
      <c r="AL46" s="1983"/>
      <c r="AM46" s="1983"/>
    </row>
    <row r="47" spans="1:83" ht="15" thickBot="1">
      <c r="A47" s="238" t="s">
        <v>281</v>
      </c>
      <c r="B47" s="239"/>
      <c r="C47" s="3093" t="s">
        <v>2898</v>
      </c>
      <c r="D47" s="1987"/>
      <c r="E47" s="1986"/>
      <c r="F47" s="1986"/>
      <c r="G47" s="1986"/>
      <c r="H47" s="1986"/>
      <c r="I47" s="1986"/>
      <c r="J47" s="1986"/>
      <c r="K47" s="1985"/>
      <c r="L47" s="1985"/>
      <c r="M47" s="1983"/>
      <c r="N47" s="1983"/>
      <c r="O47" s="1983"/>
      <c r="P47" s="1983"/>
      <c r="Q47" s="1983"/>
      <c r="R47" s="1983"/>
      <c r="S47" s="1983"/>
      <c r="T47" s="1983"/>
      <c r="U47" s="1983"/>
      <c r="V47" s="1983"/>
      <c r="W47" s="1983"/>
      <c r="X47" s="1983"/>
      <c r="Y47" s="1983"/>
      <c r="Z47" s="1983"/>
      <c r="AA47" s="1983"/>
      <c r="AB47" s="1983"/>
      <c r="AC47" s="1983"/>
      <c r="AD47" s="1983"/>
      <c r="AE47" s="1983"/>
      <c r="AF47" s="1983"/>
      <c r="AG47" s="1983"/>
      <c r="AH47" s="1983"/>
      <c r="AI47" s="1983"/>
      <c r="AJ47" s="1983"/>
      <c r="AK47" s="1983"/>
      <c r="AL47" s="1983"/>
      <c r="AM47" s="1983"/>
    </row>
    <row r="48" spans="1:83" ht="14.25">
      <c r="A48" s="240" t="s">
        <v>282</v>
      </c>
      <c r="B48" s="241">
        <v>0.03</v>
      </c>
      <c r="C48" s="3094" t="s">
        <v>2899</v>
      </c>
      <c r="D48" s="1987"/>
      <c r="E48" s="1986"/>
      <c r="F48" s="1986"/>
      <c r="G48" s="1986"/>
      <c r="H48" s="1986"/>
      <c r="I48" s="1986"/>
      <c r="J48" s="1986"/>
      <c r="K48" s="1985"/>
      <c r="L48" s="1985"/>
      <c r="M48" s="1983"/>
      <c r="N48" s="1983"/>
      <c r="O48" s="1983"/>
      <c r="P48" s="1983"/>
      <c r="Q48" s="1983"/>
      <c r="R48" s="1983"/>
      <c r="S48" s="1983"/>
      <c r="T48" s="1983"/>
      <c r="U48" s="1983"/>
      <c r="V48" s="1983"/>
      <c r="W48" s="1983"/>
      <c r="X48" s="1983"/>
      <c r="Y48" s="1983"/>
      <c r="Z48" s="1983"/>
      <c r="AA48" s="1983"/>
      <c r="AB48" s="1983"/>
      <c r="AC48" s="1983"/>
      <c r="AD48" s="1983"/>
      <c r="AE48" s="1983"/>
      <c r="AF48" s="1983"/>
      <c r="AG48" s="1983"/>
      <c r="AH48" s="1983"/>
      <c r="AI48" s="1983"/>
      <c r="AJ48" s="1983"/>
      <c r="AK48" s="1983"/>
      <c r="AL48" s="1983"/>
      <c r="AM48" s="1983"/>
    </row>
    <row r="49" spans="1:39" ht="15" thickBot="1">
      <c r="A49" s="232" t="s">
        <v>283</v>
      </c>
      <c r="B49" s="235">
        <v>5.0000000000000001E-4</v>
      </c>
      <c r="C49" s="3094" t="s">
        <v>2900</v>
      </c>
      <c r="D49" s="1987"/>
      <c r="E49" s="1986"/>
      <c r="F49" s="1986"/>
      <c r="G49" s="1986"/>
      <c r="H49" s="1986"/>
      <c r="I49" s="1986"/>
      <c r="J49" s="1986"/>
      <c r="K49" s="1985"/>
      <c r="L49" s="1985"/>
      <c r="M49" s="1983"/>
      <c r="N49" s="1983"/>
      <c r="O49" s="1983"/>
      <c r="P49" s="1983"/>
      <c r="Q49" s="1983"/>
      <c r="R49" s="1983"/>
      <c r="S49" s="1983"/>
      <c r="T49" s="1983"/>
      <c r="U49" s="1983"/>
      <c r="V49" s="1983"/>
      <c r="W49" s="1983"/>
      <c r="X49" s="1983"/>
      <c r="Y49" s="1983"/>
      <c r="Z49" s="1983"/>
      <c r="AA49" s="1983"/>
      <c r="AB49" s="1983"/>
      <c r="AC49" s="1983"/>
      <c r="AD49" s="1983"/>
      <c r="AE49" s="1983"/>
      <c r="AF49" s="1983"/>
      <c r="AG49" s="1983"/>
      <c r="AH49" s="1983"/>
      <c r="AI49" s="1983"/>
      <c r="AJ49" s="1983"/>
      <c r="AK49" s="1983"/>
      <c r="AL49" s="1983"/>
      <c r="AM49" s="1983"/>
    </row>
    <row r="50" spans="1:39" ht="14.25">
      <c r="A50" s="242" t="s">
        <v>284</v>
      </c>
      <c r="B50" s="243">
        <v>1.2E-2</v>
      </c>
      <c r="C50" s="2360"/>
      <c r="D50" s="1987"/>
      <c r="E50" s="1986"/>
      <c r="F50" s="1986"/>
      <c r="G50" s="1986"/>
      <c r="H50" s="1986"/>
      <c r="I50" s="1986"/>
      <c r="J50" s="1986"/>
      <c r="K50" s="1985"/>
      <c r="L50" s="1985"/>
      <c r="M50" s="1983"/>
      <c r="N50" s="1983"/>
      <c r="O50" s="1983"/>
      <c r="P50" s="1983"/>
      <c r="Q50" s="1983"/>
      <c r="R50" s="1983"/>
      <c r="S50" s="1983"/>
      <c r="T50" s="1983"/>
      <c r="U50" s="1983"/>
      <c r="V50" s="1983"/>
      <c r="W50" s="1983"/>
      <c r="X50" s="1983"/>
      <c r="Y50" s="1983"/>
      <c r="Z50" s="1983"/>
      <c r="AA50" s="1983"/>
      <c r="AB50" s="1983"/>
      <c r="AC50" s="1983"/>
      <c r="AD50" s="1983"/>
      <c r="AE50" s="1983"/>
      <c r="AF50" s="1983"/>
      <c r="AG50" s="1983"/>
      <c r="AH50" s="1983"/>
      <c r="AI50" s="1983"/>
      <c r="AJ50" s="1983"/>
      <c r="AK50" s="1983"/>
      <c r="AL50" s="1983"/>
      <c r="AM50" s="1983"/>
    </row>
    <row r="51" spans="1:39" ht="15" thickBot="1">
      <c r="A51" s="226" t="s">
        <v>285</v>
      </c>
      <c r="B51" s="244">
        <v>0.12</v>
      </c>
      <c r="C51" s="2360"/>
      <c r="D51" s="1987"/>
      <c r="E51" s="1986"/>
      <c r="F51" s="1986"/>
      <c r="G51" s="1986"/>
      <c r="H51" s="1986"/>
      <c r="I51" s="1986"/>
      <c r="J51" s="1986"/>
      <c r="K51" s="1985"/>
      <c r="L51" s="1985"/>
      <c r="M51" s="1983"/>
      <c r="N51" s="1983"/>
      <c r="O51" s="1983"/>
      <c r="P51" s="1983"/>
      <c r="Q51" s="1983"/>
      <c r="R51" s="1983"/>
      <c r="S51" s="1983"/>
      <c r="T51" s="1983"/>
      <c r="U51" s="1983"/>
      <c r="V51" s="1983"/>
      <c r="W51" s="1983"/>
      <c r="X51" s="1983"/>
      <c r="Y51" s="1983"/>
      <c r="Z51" s="1983"/>
      <c r="AA51" s="1983"/>
      <c r="AB51" s="1983"/>
      <c r="AC51" s="1983"/>
      <c r="AD51" s="1983"/>
      <c r="AE51" s="1983"/>
      <c r="AF51" s="1983"/>
      <c r="AG51" s="1983"/>
      <c r="AH51" s="1983"/>
      <c r="AI51" s="1983"/>
      <c r="AJ51" s="1983"/>
      <c r="AK51" s="1983"/>
      <c r="AL51" s="1983"/>
      <c r="AM51" s="1983"/>
    </row>
    <row r="52" spans="1:39" ht="14.25">
      <c r="A52" s="242" t="s">
        <v>286</v>
      </c>
      <c r="B52" s="245">
        <f>SUMIF(A54:A63,B53,B54:B63)</f>
        <v>20</v>
      </c>
      <c r="C52" s="2360"/>
      <c r="D52" s="1987"/>
      <c r="E52" s="1986"/>
      <c r="F52" s="1986"/>
      <c r="G52" s="1986"/>
      <c r="H52" s="1986"/>
      <c r="I52" s="1986"/>
      <c r="J52" s="1986"/>
      <c r="K52" s="1985"/>
      <c r="L52" s="1985"/>
      <c r="M52" s="1983"/>
      <c r="N52" s="1983"/>
      <c r="O52" s="1983"/>
      <c r="P52" s="1983"/>
      <c r="Q52" s="1983"/>
      <c r="R52" s="1983"/>
      <c r="S52" s="1983"/>
      <c r="T52" s="1983"/>
      <c r="U52" s="1983"/>
      <c r="V52" s="1983"/>
      <c r="W52" s="1983"/>
      <c r="X52" s="1983"/>
      <c r="Y52" s="1983"/>
      <c r="Z52" s="1983"/>
      <c r="AA52" s="1983"/>
      <c r="AB52" s="1983"/>
      <c r="AC52" s="1983"/>
      <c r="AD52" s="1983"/>
      <c r="AE52" s="1983"/>
      <c r="AF52" s="1983"/>
      <c r="AG52" s="1983"/>
      <c r="AH52" s="1983"/>
      <c r="AI52" s="1983"/>
      <c r="AJ52" s="1983"/>
      <c r="AK52" s="1983"/>
      <c r="AL52" s="1983"/>
      <c r="AM52" s="1983"/>
    </row>
    <row r="53" spans="1:39" ht="27">
      <c r="A53" s="223" t="s">
        <v>287</v>
      </c>
      <c r="B53" s="246" t="s">
        <v>1149</v>
      </c>
      <c r="C53" s="3095" t="s">
        <v>2901</v>
      </c>
      <c r="D53" s="3096" t="s">
        <v>2902</v>
      </c>
      <c r="E53" s="1986"/>
      <c r="F53" s="1986"/>
      <c r="G53" s="1986"/>
      <c r="H53" s="1986"/>
      <c r="I53" s="1986"/>
      <c r="J53" s="1986"/>
      <c r="K53" s="1985"/>
      <c r="L53" s="1985"/>
      <c r="M53" s="1983"/>
      <c r="N53" s="1983"/>
      <c r="O53" s="1983"/>
      <c r="P53" s="1983"/>
      <c r="Q53" s="1983"/>
      <c r="R53" s="1983"/>
      <c r="S53" s="1983"/>
      <c r="T53" s="1983"/>
      <c r="U53" s="1983"/>
      <c r="V53" s="1983"/>
      <c r="W53" s="1983"/>
      <c r="X53" s="1983"/>
      <c r="Y53" s="1983"/>
      <c r="Z53" s="1983"/>
      <c r="AA53" s="1983"/>
      <c r="AB53" s="1983"/>
      <c r="AC53" s="1983"/>
      <c r="AD53" s="1983"/>
      <c r="AE53" s="1983"/>
      <c r="AF53" s="1983"/>
      <c r="AG53" s="1983"/>
      <c r="AH53" s="1983"/>
      <c r="AI53" s="1983"/>
      <c r="AJ53" s="1983"/>
      <c r="AK53" s="1983"/>
      <c r="AL53" s="1983"/>
      <c r="AM53" s="1983"/>
    </row>
    <row r="54" spans="1:39" ht="14.25">
      <c r="A54" s="3098" t="s">
        <v>2903</v>
      </c>
      <c r="B54" s="184">
        <v>25</v>
      </c>
      <c r="C54" s="1988">
        <v>30</v>
      </c>
      <c r="D54" s="3097"/>
      <c r="E54" s="1986"/>
      <c r="F54" s="1986"/>
      <c r="G54" s="1986"/>
      <c r="H54" s="1986"/>
      <c r="I54" s="1986"/>
      <c r="J54" s="1986"/>
      <c r="K54" s="1985"/>
      <c r="L54" s="1985"/>
      <c r="M54" s="1983"/>
      <c r="N54" s="1983"/>
      <c r="O54" s="1983"/>
      <c r="P54" s="1983"/>
      <c r="Q54" s="1983"/>
      <c r="R54" s="1983"/>
      <c r="S54" s="1983"/>
      <c r="T54" s="1983"/>
      <c r="U54" s="1983"/>
      <c r="V54" s="1983"/>
      <c r="W54" s="1983"/>
      <c r="X54" s="1983"/>
      <c r="Y54" s="1983"/>
      <c r="Z54" s="1983"/>
      <c r="AA54" s="1983"/>
      <c r="AB54" s="1983"/>
      <c r="AC54" s="1983"/>
      <c r="AD54" s="1983"/>
      <c r="AE54" s="1983"/>
      <c r="AF54" s="1983"/>
      <c r="AG54" s="1983"/>
      <c r="AH54" s="1983"/>
      <c r="AI54" s="1983"/>
      <c r="AJ54" s="1983"/>
      <c r="AK54" s="1983"/>
      <c r="AL54" s="1983"/>
      <c r="AM54" s="1983"/>
    </row>
    <row r="55" spans="1:39" ht="14.25">
      <c r="A55" s="3098" t="s">
        <v>2904</v>
      </c>
      <c r="B55" s="184">
        <v>20</v>
      </c>
      <c r="C55" s="1988">
        <v>24</v>
      </c>
      <c r="D55" s="3097"/>
      <c r="E55" s="1986"/>
      <c r="F55" s="1986"/>
      <c r="G55" s="1986"/>
      <c r="H55" s="1986"/>
      <c r="I55" s="1981"/>
      <c r="J55" s="1986"/>
      <c r="K55" s="1985"/>
      <c r="L55" s="1985"/>
      <c r="M55" s="1983"/>
      <c r="N55" s="1983"/>
      <c r="O55" s="1983"/>
      <c r="P55" s="1983"/>
      <c r="Q55" s="1983"/>
      <c r="R55" s="1983"/>
      <c r="S55" s="1983"/>
      <c r="T55" s="1983"/>
      <c r="U55" s="1983"/>
      <c r="V55" s="1983"/>
      <c r="W55" s="1983"/>
      <c r="X55" s="1983"/>
      <c r="Y55" s="1983"/>
      <c r="Z55" s="1983"/>
      <c r="AA55" s="1983"/>
      <c r="AB55" s="1983"/>
      <c r="AC55" s="1983"/>
      <c r="AD55" s="1983"/>
      <c r="AE55" s="1983"/>
      <c r="AF55" s="1983"/>
      <c r="AG55" s="1983"/>
      <c r="AH55" s="1983"/>
      <c r="AI55" s="1983"/>
      <c r="AJ55" s="1983"/>
      <c r="AK55" s="1983"/>
      <c r="AL55" s="1983"/>
      <c r="AM55" s="1983"/>
    </row>
    <row r="56" spans="1:39" ht="14.25">
      <c r="A56" s="3098" t="s">
        <v>2905</v>
      </c>
      <c r="B56" s="184"/>
      <c r="C56" s="1988">
        <v>18</v>
      </c>
      <c r="D56" s="3097"/>
      <c r="E56" s="1986"/>
      <c r="F56" s="1986"/>
      <c r="G56" s="1986"/>
      <c r="H56" s="1986"/>
      <c r="I56" s="1986"/>
      <c r="J56" s="1986"/>
      <c r="K56" s="1985"/>
      <c r="L56" s="1985"/>
      <c r="M56" s="1983"/>
      <c r="N56" s="1983"/>
      <c r="O56" s="1983"/>
      <c r="P56" s="1983"/>
      <c r="Q56" s="1983"/>
      <c r="R56" s="1983"/>
      <c r="S56" s="1983"/>
      <c r="T56" s="1983"/>
      <c r="U56" s="1983"/>
      <c r="V56" s="1983"/>
      <c r="W56" s="1983"/>
      <c r="X56" s="1983"/>
      <c r="Y56" s="1983"/>
      <c r="Z56" s="1983"/>
      <c r="AA56" s="1983"/>
      <c r="AB56" s="1983"/>
      <c r="AC56" s="1983"/>
      <c r="AD56" s="1983"/>
      <c r="AE56" s="1983"/>
      <c r="AF56" s="1983"/>
      <c r="AG56" s="1983"/>
      <c r="AH56" s="1983"/>
      <c r="AI56" s="1983"/>
      <c r="AJ56" s="1983"/>
      <c r="AK56" s="1983"/>
      <c r="AL56" s="1983"/>
      <c r="AM56" s="1983"/>
    </row>
    <row r="57" spans="1:39" ht="14.25">
      <c r="A57" s="3098" t="s">
        <v>2906</v>
      </c>
      <c r="B57" s="184"/>
      <c r="C57" s="1988">
        <v>12</v>
      </c>
      <c r="D57" s="3097"/>
      <c r="E57" s="1986"/>
      <c r="F57" s="1986"/>
      <c r="G57" s="1986"/>
      <c r="H57" s="1986"/>
      <c r="I57" s="1986"/>
      <c r="J57" s="1986"/>
      <c r="K57" s="1985"/>
      <c r="L57" s="1985"/>
      <c r="M57" s="1983"/>
      <c r="N57" s="1983"/>
      <c r="O57" s="1983"/>
      <c r="P57" s="1983"/>
      <c r="Q57" s="1983"/>
      <c r="R57" s="1983"/>
      <c r="S57" s="1983"/>
      <c r="T57" s="1983"/>
      <c r="U57" s="1983"/>
      <c r="V57" s="1983"/>
      <c r="W57" s="1983"/>
      <c r="X57" s="1983"/>
      <c r="Y57" s="1983"/>
      <c r="Z57" s="1983"/>
      <c r="AA57" s="1983"/>
      <c r="AB57" s="1983"/>
      <c r="AC57" s="1983"/>
      <c r="AD57" s="1983"/>
      <c r="AE57" s="1983"/>
      <c r="AF57" s="1983"/>
      <c r="AG57" s="1983"/>
      <c r="AH57" s="1983"/>
      <c r="AI57" s="1983"/>
      <c r="AJ57" s="1983"/>
      <c r="AK57" s="1983"/>
      <c r="AL57" s="1983"/>
      <c r="AM57" s="1983"/>
    </row>
    <row r="58" spans="1:39" ht="14.25">
      <c r="A58" s="3098" t="s">
        <v>2907</v>
      </c>
      <c r="B58" s="184"/>
      <c r="C58" s="1988">
        <v>3</v>
      </c>
      <c r="D58" s="3097"/>
      <c r="E58" s="1986"/>
      <c r="F58" s="1986"/>
      <c r="G58" s="1986"/>
      <c r="H58" s="1986"/>
      <c r="I58" s="1986"/>
      <c r="J58" s="1986"/>
      <c r="K58" s="1985"/>
      <c r="L58" s="1985"/>
      <c r="M58" s="1983"/>
      <c r="N58" s="1983"/>
      <c r="O58" s="1983"/>
      <c r="P58" s="1983"/>
      <c r="Q58" s="1983"/>
      <c r="R58" s="1983"/>
      <c r="S58" s="1983"/>
      <c r="T58" s="1983"/>
      <c r="U58" s="1983"/>
      <c r="V58" s="1983"/>
      <c r="W58" s="1983"/>
      <c r="X58" s="1983"/>
      <c r="Y58" s="1983"/>
      <c r="Z58" s="1983"/>
      <c r="AA58" s="1983"/>
      <c r="AB58" s="1983"/>
      <c r="AC58" s="1983"/>
      <c r="AD58" s="1983"/>
      <c r="AE58" s="1983"/>
      <c r="AF58" s="1983"/>
      <c r="AG58" s="1983"/>
      <c r="AH58" s="1983"/>
      <c r="AI58" s="1983"/>
      <c r="AJ58" s="1983"/>
      <c r="AK58" s="1983"/>
      <c r="AL58" s="1983"/>
      <c r="AM58" s="1983"/>
    </row>
    <row r="59" spans="1:39" ht="14.25">
      <c r="A59" s="3098" t="s">
        <v>2908</v>
      </c>
      <c r="B59" s="184"/>
      <c r="C59" s="1988">
        <v>1.5</v>
      </c>
      <c r="D59" s="3097"/>
      <c r="E59" s="1986"/>
      <c r="F59" s="1986"/>
      <c r="G59" s="1986"/>
      <c r="H59" s="1986"/>
      <c r="I59" s="1986"/>
      <c r="J59" s="1986"/>
      <c r="K59" s="1985"/>
      <c r="L59" s="1985"/>
      <c r="M59" s="1983"/>
      <c r="N59" s="1983"/>
      <c r="O59" s="1983"/>
      <c r="P59" s="1983"/>
      <c r="Q59" s="1983"/>
      <c r="R59" s="1983"/>
      <c r="S59" s="1983"/>
      <c r="T59" s="1983"/>
      <c r="U59" s="1983"/>
      <c r="V59" s="1983"/>
      <c r="W59" s="1983"/>
      <c r="X59" s="1983"/>
      <c r="Y59" s="1983"/>
      <c r="Z59" s="1983"/>
      <c r="AA59" s="1983"/>
      <c r="AB59" s="1983"/>
      <c r="AC59" s="1983"/>
      <c r="AD59" s="1983"/>
      <c r="AE59" s="1983"/>
      <c r="AF59" s="1983"/>
      <c r="AG59" s="1983"/>
      <c r="AH59" s="1983"/>
      <c r="AI59" s="1983"/>
      <c r="AJ59" s="1983"/>
      <c r="AK59" s="1983"/>
      <c r="AL59" s="1983"/>
      <c r="AM59" s="1983"/>
    </row>
    <row r="60" spans="1:39" ht="14.25">
      <c r="A60" s="3098" t="s">
        <v>2909</v>
      </c>
      <c r="B60" s="184"/>
      <c r="C60" s="1986"/>
      <c r="D60" s="1987"/>
      <c r="E60" s="1986"/>
      <c r="F60" s="1986"/>
      <c r="G60" s="1986"/>
      <c r="H60" s="1986"/>
      <c r="I60" s="1986"/>
      <c r="J60" s="1986"/>
      <c r="K60" s="1985"/>
      <c r="L60" s="1985"/>
      <c r="M60" s="1983"/>
      <c r="N60" s="1983"/>
      <c r="O60" s="1983"/>
      <c r="P60" s="1983"/>
      <c r="Q60" s="1983"/>
      <c r="R60" s="1983"/>
      <c r="S60" s="1983"/>
      <c r="T60" s="1983"/>
      <c r="U60" s="1983"/>
      <c r="V60" s="1983"/>
      <c r="W60" s="1983"/>
      <c r="X60" s="1983"/>
      <c r="Y60" s="1983"/>
      <c r="Z60" s="1983"/>
      <c r="AA60" s="1983"/>
      <c r="AB60" s="1983"/>
      <c r="AC60" s="1983"/>
      <c r="AD60" s="1983"/>
      <c r="AE60" s="1983"/>
      <c r="AF60" s="1983"/>
      <c r="AG60" s="1983"/>
      <c r="AH60" s="1983"/>
      <c r="AI60" s="1983"/>
      <c r="AJ60" s="1983"/>
      <c r="AK60" s="1983"/>
      <c r="AL60" s="1983"/>
      <c r="AM60" s="1983"/>
    </row>
    <row r="61" spans="1:39" ht="14.25">
      <c r="A61" s="3098" t="s">
        <v>2910</v>
      </c>
      <c r="B61" s="184"/>
      <c r="C61" s="1986"/>
      <c r="D61" s="1987"/>
      <c r="E61" s="1986"/>
      <c r="F61" s="1986"/>
      <c r="G61" s="1986"/>
      <c r="H61" s="1986"/>
      <c r="I61" s="1986"/>
      <c r="J61" s="1986"/>
      <c r="K61" s="1985"/>
      <c r="L61" s="1985"/>
      <c r="M61" s="1983"/>
      <c r="N61" s="1983"/>
      <c r="O61" s="1983"/>
      <c r="P61" s="1983"/>
      <c r="Q61" s="1983"/>
      <c r="R61" s="1983"/>
      <c r="S61" s="1983"/>
      <c r="T61" s="1983"/>
      <c r="U61" s="1983"/>
      <c r="V61" s="1983"/>
      <c r="W61" s="1983"/>
      <c r="X61" s="1983"/>
      <c r="Y61" s="1983"/>
      <c r="Z61" s="1983"/>
      <c r="AA61" s="1983"/>
      <c r="AB61" s="1983"/>
      <c r="AC61" s="1983"/>
      <c r="AD61" s="1983"/>
      <c r="AE61" s="1983"/>
      <c r="AF61" s="1983"/>
      <c r="AG61" s="1983"/>
      <c r="AH61" s="1983"/>
      <c r="AI61" s="1983"/>
      <c r="AJ61" s="1983"/>
      <c r="AK61" s="1983"/>
      <c r="AL61" s="1983"/>
      <c r="AM61" s="1983"/>
    </row>
    <row r="62" spans="1:39" ht="14.25">
      <c r="A62" s="3098" t="s">
        <v>2911</v>
      </c>
      <c r="B62" s="184"/>
      <c r="C62" s="1986"/>
      <c r="D62" s="1987"/>
      <c r="E62" s="1986"/>
      <c r="F62" s="1986"/>
      <c r="G62" s="1986"/>
      <c r="H62" s="1986"/>
      <c r="I62" s="1986"/>
      <c r="J62" s="1986"/>
      <c r="K62" s="1985"/>
      <c r="L62" s="1985"/>
      <c r="M62" s="1983"/>
      <c r="N62" s="1983"/>
      <c r="O62" s="1983"/>
      <c r="P62" s="1983"/>
      <c r="Q62" s="1983"/>
      <c r="R62" s="1983"/>
      <c r="S62" s="1983"/>
      <c r="T62" s="1983"/>
      <c r="U62" s="1983"/>
      <c r="V62" s="1983"/>
      <c r="W62" s="1983"/>
      <c r="X62" s="1983"/>
      <c r="Y62" s="1983"/>
      <c r="Z62" s="1983"/>
      <c r="AA62" s="1983"/>
      <c r="AB62" s="1983"/>
      <c r="AC62" s="1983"/>
      <c r="AD62" s="1983"/>
      <c r="AE62" s="1983"/>
      <c r="AF62" s="1983"/>
      <c r="AG62" s="1983"/>
      <c r="AH62" s="1983"/>
      <c r="AI62" s="1983"/>
      <c r="AJ62" s="1983"/>
      <c r="AK62" s="1983"/>
      <c r="AL62" s="1983"/>
      <c r="AM62" s="1983"/>
    </row>
    <row r="63" spans="1:39" ht="15" thickBot="1">
      <c r="A63" s="3099" t="s">
        <v>2912</v>
      </c>
      <c r="B63" s="247"/>
      <c r="C63" s="1986"/>
      <c r="D63" s="1987"/>
      <c r="E63" s="1986"/>
      <c r="F63" s="1986"/>
      <c r="G63" s="1986"/>
      <c r="H63" s="1986"/>
      <c r="I63" s="1986"/>
      <c r="J63" s="1986"/>
      <c r="K63" s="1985"/>
      <c r="L63" s="1985"/>
      <c r="M63" s="1983"/>
      <c r="N63" s="1983"/>
      <c r="O63" s="1983"/>
      <c r="P63" s="1983"/>
      <c r="Q63" s="1983"/>
      <c r="R63" s="1983"/>
      <c r="S63" s="1983"/>
      <c r="T63" s="1983"/>
      <c r="U63" s="1983"/>
      <c r="V63" s="1983"/>
      <c r="W63" s="1983"/>
      <c r="X63" s="1983"/>
      <c r="Y63" s="1983"/>
      <c r="Z63" s="1983"/>
      <c r="AA63" s="1983"/>
      <c r="AB63" s="1983"/>
      <c r="AC63" s="1983"/>
      <c r="AD63" s="1983"/>
      <c r="AE63" s="1983"/>
      <c r="AF63" s="1983"/>
      <c r="AG63" s="1983"/>
      <c r="AH63" s="1983"/>
      <c r="AI63" s="1983"/>
      <c r="AJ63" s="1983"/>
      <c r="AK63" s="1983"/>
      <c r="AL63" s="1983"/>
      <c r="AM63" s="1983"/>
    </row>
    <row r="64" spans="1:39" s="1992" customFormat="1">
      <c r="A64" s="248"/>
      <c r="D64" s="1993"/>
      <c r="K64" s="57"/>
      <c r="L64" s="57"/>
    </row>
    <row r="65" spans="1:12" s="1992" customFormat="1">
      <c r="A65" s="248"/>
      <c r="D65" s="1993"/>
      <c r="K65" s="57"/>
      <c r="L65" s="57"/>
    </row>
    <row r="66" spans="1:12" s="1992" customFormat="1">
      <c r="A66" s="248"/>
      <c r="D66" s="1993"/>
      <c r="K66" s="57"/>
      <c r="L66" s="57"/>
    </row>
    <row r="67" spans="1:12" s="1992" customFormat="1">
      <c r="A67" s="248"/>
      <c r="D67" s="1993"/>
      <c r="K67" s="57"/>
      <c r="L67" s="57"/>
    </row>
    <row r="68" spans="1:12" s="1992" customFormat="1">
      <c r="A68" s="248"/>
      <c r="D68" s="1993"/>
      <c r="K68" s="57"/>
      <c r="L68" s="57"/>
    </row>
    <row r="69" spans="1:12" s="1992" customFormat="1">
      <c r="A69" s="248"/>
      <c r="D69" s="1993"/>
      <c r="K69" s="57"/>
      <c r="L69" s="57"/>
    </row>
    <row r="70" spans="1:12" s="1992" customFormat="1">
      <c r="A70" s="248"/>
      <c r="D70" s="1993"/>
      <c r="K70" s="57"/>
      <c r="L70" s="57"/>
    </row>
    <row r="71" spans="1:12" s="1992" customFormat="1">
      <c r="A71" s="248"/>
      <c r="D71" s="1993"/>
      <c r="K71" s="57"/>
      <c r="L71" s="57"/>
    </row>
    <row r="72" spans="1:12" s="1992" customFormat="1">
      <c r="A72" s="248"/>
      <c r="D72" s="1993"/>
      <c r="K72" s="57"/>
      <c r="L72" s="57"/>
    </row>
    <row r="73" spans="1:12" s="1992" customFormat="1">
      <c r="A73" s="248"/>
      <c r="D73" s="1993"/>
      <c r="K73" s="57"/>
      <c r="L73" s="57"/>
    </row>
    <row r="74" spans="1:12" s="1992" customFormat="1">
      <c r="A74" s="248"/>
      <c r="D74" s="1993"/>
      <c r="K74" s="57"/>
      <c r="L74" s="57"/>
    </row>
    <row r="75" spans="1:12" s="1992" customFormat="1">
      <c r="A75" s="248"/>
      <c r="D75" s="1993"/>
      <c r="K75" s="57"/>
      <c r="L75" s="57"/>
    </row>
    <row r="76" spans="1:12" s="1992" customFormat="1">
      <c r="A76" s="248"/>
      <c r="D76" s="1993"/>
      <c r="K76" s="57"/>
      <c r="L76" s="57"/>
    </row>
    <row r="77" spans="1:12" s="1992" customFormat="1">
      <c r="A77" s="248"/>
      <c r="D77" s="1993"/>
      <c r="K77" s="57"/>
      <c r="L77" s="57"/>
    </row>
    <row r="78" spans="1:12" s="1992" customFormat="1">
      <c r="A78" s="248"/>
      <c r="D78" s="1993"/>
      <c r="K78" s="57"/>
      <c r="L78" s="57"/>
    </row>
    <row r="79" spans="1:12" s="1992" customFormat="1">
      <c r="A79" s="248"/>
      <c r="D79" s="1993"/>
      <c r="K79" s="57"/>
      <c r="L79" s="57"/>
    </row>
    <row r="80" spans="1:12" s="1992" customFormat="1">
      <c r="A80" s="248"/>
      <c r="D80" s="1993"/>
      <c r="K80" s="57"/>
      <c r="L80" s="57"/>
    </row>
    <row r="81" spans="1:12" s="1992" customFormat="1">
      <c r="A81" s="248"/>
      <c r="D81" s="1993"/>
      <c r="K81" s="57"/>
      <c r="L81" s="57"/>
    </row>
    <row r="82" spans="1:12" s="1992" customFormat="1">
      <c r="A82" s="248"/>
      <c r="D82" s="1993"/>
      <c r="K82" s="57"/>
      <c r="L82" s="57"/>
    </row>
    <row r="83" spans="1:12" s="1992" customFormat="1">
      <c r="A83" s="248"/>
      <c r="D83" s="1993"/>
      <c r="K83" s="57"/>
      <c r="L83" s="57"/>
    </row>
    <row r="84" spans="1:12" s="1992" customFormat="1">
      <c r="A84" s="248"/>
      <c r="D84" s="1993"/>
      <c r="K84" s="57"/>
      <c r="L84" s="57"/>
    </row>
    <row r="85" spans="1:12" s="1992" customFormat="1">
      <c r="A85" s="248"/>
      <c r="D85" s="1993"/>
      <c r="K85" s="57"/>
      <c r="L85" s="57"/>
    </row>
    <row r="86" spans="1:12" s="1992" customFormat="1">
      <c r="A86" s="248"/>
      <c r="D86" s="1993"/>
      <c r="K86" s="57"/>
      <c r="L86" s="57"/>
    </row>
    <row r="87" spans="1:12" s="1992" customFormat="1">
      <c r="A87" s="248"/>
      <c r="D87" s="1993"/>
      <c r="K87" s="57"/>
      <c r="L87" s="57"/>
    </row>
    <row r="88" spans="1:12" s="1992" customFormat="1">
      <c r="A88" s="248"/>
      <c r="D88" s="1993"/>
      <c r="K88" s="57"/>
      <c r="L88" s="57"/>
    </row>
    <row r="89" spans="1:12" s="1992" customFormat="1">
      <c r="A89" s="248"/>
      <c r="D89" s="1993"/>
      <c r="K89" s="57"/>
      <c r="L89" s="57"/>
    </row>
    <row r="90" spans="1:12" s="1992" customFormat="1">
      <c r="A90" s="248"/>
      <c r="D90" s="1993"/>
      <c r="K90" s="57"/>
      <c r="L90" s="57"/>
    </row>
    <row r="91" spans="1:12" s="1992" customFormat="1">
      <c r="A91" s="248"/>
      <c r="D91" s="1993"/>
      <c r="K91" s="57"/>
      <c r="L91" s="57"/>
    </row>
    <row r="92" spans="1:12" s="1992" customFormat="1">
      <c r="A92" s="248"/>
      <c r="D92" s="1993"/>
      <c r="K92" s="57"/>
      <c r="L92" s="57"/>
    </row>
    <row r="93" spans="1:12" s="1992" customFormat="1">
      <c r="A93" s="248"/>
      <c r="D93" s="1993"/>
      <c r="K93" s="57"/>
      <c r="L93" s="57"/>
    </row>
    <row r="94" spans="1:12" s="1992" customFormat="1">
      <c r="A94" s="248"/>
      <c r="D94" s="1993"/>
      <c r="K94" s="57"/>
      <c r="L94" s="57"/>
    </row>
    <row r="95" spans="1:12" s="1992" customFormat="1">
      <c r="A95" s="248"/>
      <c r="D95" s="1993"/>
      <c r="K95" s="57"/>
      <c r="L95" s="57"/>
    </row>
    <row r="96" spans="1:12" s="1992" customFormat="1">
      <c r="A96" s="248"/>
      <c r="D96" s="1993"/>
      <c r="K96" s="57"/>
      <c r="L96" s="57"/>
    </row>
    <row r="97" spans="1:12" s="1992" customFormat="1">
      <c r="A97" s="248"/>
      <c r="D97" s="1993"/>
      <c r="K97" s="57"/>
      <c r="L97" s="57"/>
    </row>
    <row r="98" spans="1:12" s="1992" customFormat="1">
      <c r="A98" s="248"/>
      <c r="D98" s="1993"/>
      <c r="K98" s="57"/>
      <c r="L98" s="57"/>
    </row>
    <row r="99" spans="1:12" s="1992" customFormat="1">
      <c r="A99" s="248"/>
      <c r="D99" s="1993"/>
      <c r="K99" s="57"/>
      <c r="L99" s="57"/>
    </row>
    <row r="100" spans="1:12" s="1992" customFormat="1">
      <c r="A100" s="248"/>
      <c r="D100" s="1993"/>
      <c r="K100" s="57"/>
      <c r="L100" s="57"/>
    </row>
    <row r="101" spans="1:12" s="1992" customFormat="1">
      <c r="A101" s="248"/>
      <c r="D101" s="1993"/>
      <c r="K101" s="57"/>
      <c r="L101" s="57"/>
    </row>
    <row r="102" spans="1:12" s="1992" customFormat="1">
      <c r="A102" s="248"/>
      <c r="D102" s="1993"/>
      <c r="K102" s="57"/>
      <c r="L102" s="57"/>
    </row>
    <row r="103" spans="1:12" s="1992" customFormat="1">
      <c r="A103" s="248"/>
      <c r="D103" s="1993"/>
      <c r="K103" s="57"/>
      <c r="L103" s="57"/>
    </row>
    <row r="104" spans="1:12" s="1992" customFormat="1">
      <c r="A104" s="248"/>
      <c r="D104" s="1993"/>
      <c r="K104" s="57"/>
      <c r="L104" s="57"/>
    </row>
    <row r="105" spans="1:12" s="1992" customFormat="1">
      <c r="A105" s="248"/>
      <c r="D105" s="1993"/>
      <c r="K105" s="57"/>
      <c r="L105" s="57"/>
    </row>
    <row r="106" spans="1:12" s="1992" customFormat="1">
      <c r="A106" s="248"/>
      <c r="D106" s="1993"/>
      <c r="K106" s="57"/>
      <c r="L106" s="57"/>
    </row>
    <row r="107" spans="1:12" s="1992" customFormat="1">
      <c r="A107" s="248"/>
      <c r="D107" s="1993"/>
      <c r="K107" s="57"/>
      <c r="L107" s="57"/>
    </row>
    <row r="108" spans="1:12" s="1992" customFormat="1">
      <c r="A108" s="248"/>
      <c r="D108" s="1993"/>
      <c r="K108" s="57"/>
      <c r="L108" s="57"/>
    </row>
    <row r="109" spans="1:12" s="1992" customFormat="1">
      <c r="A109" s="248"/>
      <c r="D109" s="1993"/>
      <c r="K109" s="57"/>
      <c r="L109" s="57"/>
    </row>
    <row r="110" spans="1:12" s="1992" customFormat="1">
      <c r="A110" s="248"/>
      <c r="D110" s="1993"/>
      <c r="K110" s="57"/>
      <c r="L110" s="57"/>
    </row>
    <row r="111" spans="1:12" s="1992" customFormat="1">
      <c r="A111" s="248"/>
      <c r="D111" s="1993"/>
      <c r="K111" s="57"/>
      <c r="L111" s="57"/>
    </row>
    <row r="112" spans="1:12" s="1992" customFormat="1">
      <c r="A112" s="248"/>
      <c r="D112" s="1993"/>
      <c r="K112" s="57"/>
      <c r="L112" s="57"/>
    </row>
    <row r="113" spans="1:12" s="1992" customFormat="1">
      <c r="A113" s="248"/>
      <c r="D113" s="1993"/>
      <c r="K113" s="57"/>
      <c r="L113" s="57"/>
    </row>
    <row r="114" spans="1:12" s="1992" customFormat="1">
      <c r="A114" s="248"/>
      <c r="D114" s="1993"/>
      <c r="K114" s="57"/>
      <c r="L114" s="57"/>
    </row>
    <row r="115" spans="1:12" s="1992" customFormat="1">
      <c r="A115" s="248"/>
      <c r="D115" s="1993"/>
      <c r="K115" s="57"/>
      <c r="L115" s="57"/>
    </row>
    <row r="116" spans="1:12" s="1992" customFormat="1">
      <c r="A116" s="248"/>
      <c r="D116" s="1993"/>
      <c r="K116" s="57"/>
      <c r="L116" s="57"/>
    </row>
    <row r="117" spans="1:12" s="1992" customFormat="1">
      <c r="A117" s="248"/>
      <c r="D117" s="1993"/>
      <c r="K117" s="57"/>
      <c r="L117" s="57"/>
    </row>
    <row r="118" spans="1:12" s="1992" customFormat="1">
      <c r="A118" s="248"/>
      <c r="D118" s="1993"/>
      <c r="K118" s="57"/>
      <c r="L118" s="57"/>
    </row>
    <row r="119" spans="1:12" s="1992" customFormat="1">
      <c r="A119" s="248"/>
      <c r="D119" s="1993"/>
      <c r="K119" s="57"/>
      <c r="L119" s="57"/>
    </row>
    <row r="120" spans="1:12" s="1992" customFormat="1">
      <c r="A120" s="248"/>
      <c r="D120" s="1993"/>
      <c r="K120" s="57"/>
      <c r="L120" s="57"/>
    </row>
    <row r="121" spans="1:12" s="1992" customFormat="1">
      <c r="A121" s="248"/>
      <c r="D121" s="1993"/>
      <c r="K121" s="57"/>
      <c r="L121" s="57"/>
    </row>
    <row r="122" spans="1:12" s="1992" customFormat="1">
      <c r="A122" s="248"/>
      <c r="D122" s="1993"/>
      <c r="K122" s="57"/>
      <c r="L122" s="57"/>
    </row>
    <row r="123" spans="1:12" s="1992" customFormat="1">
      <c r="A123" s="248"/>
      <c r="D123" s="1993"/>
      <c r="K123" s="57"/>
      <c r="L123" s="57"/>
    </row>
    <row r="124" spans="1:12" s="1992" customFormat="1">
      <c r="A124" s="248"/>
      <c r="D124" s="1993"/>
      <c r="K124" s="57"/>
      <c r="L124" s="57"/>
    </row>
    <row r="125" spans="1:12" s="1992" customFormat="1">
      <c r="A125" s="248"/>
      <c r="D125" s="1993"/>
      <c r="K125" s="57"/>
      <c r="L125" s="57"/>
    </row>
    <row r="126" spans="1:12" s="1992" customFormat="1">
      <c r="A126" s="248"/>
      <c r="D126" s="1993"/>
      <c r="K126" s="57"/>
      <c r="L126" s="57"/>
    </row>
    <row r="127" spans="1:12" s="1992" customFormat="1">
      <c r="A127" s="248"/>
      <c r="D127" s="1993"/>
      <c r="K127" s="57"/>
      <c r="L127" s="57"/>
    </row>
    <row r="128" spans="1:12" s="1992" customFormat="1">
      <c r="A128" s="248"/>
      <c r="D128" s="1993"/>
      <c r="K128" s="57"/>
      <c r="L128" s="57"/>
    </row>
    <row r="129" spans="1:12" s="1992" customFormat="1">
      <c r="A129" s="248"/>
      <c r="D129" s="1993"/>
      <c r="K129" s="57"/>
      <c r="L129" s="57"/>
    </row>
    <row r="130" spans="1:12" s="1992" customFormat="1">
      <c r="A130" s="248"/>
      <c r="D130" s="1993"/>
      <c r="K130" s="57"/>
      <c r="L130" s="57"/>
    </row>
    <row r="131" spans="1:12" s="1992" customFormat="1">
      <c r="A131" s="248"/>
      <c r="D131" s="1993"/>
      <c r="K131" s="57"/>
      <c r="L131" s="57"/>
    </row>
    <row r="132" spans="1:12" s="1992" customFormat="1">
      <c r="A132" s="248"/>
      <c r="D132" s="1993"/>
      <c r="K132" s="57"/>
      <c r="L132" s="57"/>
    </row>
    <row r="133" spans="1:12" s="1992" customFormat="1">
      <c r="A133" s="248"/>
      <c r="D133" s="1993"/>
      <c r="K133" s="57"/>
      <c r="L133" s="57"/>
    </row>
    <row r="134" spans="1:12" s="1992" customFormat="1">
      <c r="A134" s="248"/>
      <c r="D134" s="1993"/>
      <c r="K134" s="57"/>
      <c r="L134" s="57"/>
    </row>
    <row r="135" spans="1:12" s="1992" customFormat="1">
      <c r="A135" s="248"/>
      <c r="D135" s="1993"/>
      <c r="K135" s="57"/>
      <c r="L135" s="57"/>
    </row>
    <row r="136" spans="1:12" s="1992" customFormat="1">
      <c r="A136" s="248"/>
      <c r="D136" s="1993"/>
      <c r="K136" s="57"/>
      <c r="L136" s="57"/>
    </row>
    <row r="137" spans="1:12" s="1992" customFormat="1">
      <c r="A137" s="248"/>
      <c r="D137" s="1993"/>
      <c r="K137" s="57"/>
      <c r="L137" s="57"/>
    </row>
    <row r="138" spans="1:12" s="1992" customFormat="1">
      <c r="A138" s="248"/>
      <c r="D138" s="1993"/>
      <c r="K138" s="57"/>
      <c r="L138" s="57"/>
    </row>
    <row r="139" spans="1:12" s="1992" customFormat="1">
      <c r="A139" s="248"/>
      <c r="D139" s="1993"/>
      <c r="K139" s="57"/>
      <c r="L139" s="57"/>
    </row>
    <row r="140" spans="1:12" s="1992" customFormat="1">
      <c r="A140" s="248"/>
      <c r="D140" s="1993"/>
      <c r="K140" s="57"/>
      <c r="L140" s="57"/>
    </row>
    <row r="141" spans="1:12" s="1992" customFormat="1">
      <c r="A141" s="248"/>
      <c r="D141" s="1993"/>
      <c r="K141" s="57"/>
      <c r="L141" s="57"/>
    </row>
    <row r="142" spans="1:12" s="1992" customFormat="1">
      <c r="A142" s="248"/>
      <c r="D142" s="1993"/>
      <c r="K142" s="57"/>
      <c r="L142" s="57"/>
    </row>
    <row r="143" spans="1:12" s="1992" customFormat="1">
      <c r="A143" s="248"/>
      <c r="D143" s="1993"/>
      <c r="K143" s="57"/>
      <c r="L143" s="57"/>
    </row>
    <row r="144" spans="1:12" s="1992" customFormat="1">
      <c r="A144" s="248"/>
      <c r="D144" s="1993"/>
      <c r="K144" s="57"/>
      <c r="L144" s="57"/>
    </row>
    <row r="145" spans="1:12" s="1992" customFormat="1">
      <c r="A145" s="248"/>
      <c r="D145" s="1993"/>
      <c r="K145" s="57"/>
      <c r="L145" s="57"/>
    </row>
    <row r="146" spans="1:12" s="1992" customFormat="1">
      <c r="A146" s="248"/>
      <c r="D146" s="1993"/>
      <c r="K146" s="57"/>
      <c r="L146" s="57"/>
    </row>
    <row r="147" spans="1:12" s="1992" customFormat="1">
      <c r="A147" s="248"/>
      <c r="D147" s="1993"/>
      <c r="K147" s="57"/>
      <c r="L147" s="57"/>
    </row>
    <row r="148" spans="1:12" s="1992" customFormat="1">
      <c r="A148" s="248"/>
      <c r="D148" s="1993"/>
      <c r="K148" s="57"/>
      <c r="L148" s="57"/>
    </row>
    <row r="149" spans="1:12" s="1992" customFormat="1">
      <c r="A149" s="248"/>
      <c r="D149" s="1993"/>
      <c r="K149" s="57"/>
      <c r="L149" s="57"/>
    </row>
    <row r="150" spans="1:12" s="1992" customFormat="1">
      <c r="A150" s="248"/>
      <c r="D150" s="1993"/>
      <c r="K150" s="57"/>
      <c r="L150" s="57"/>
    </row>
    <row r="151" spans="1:12" s="1992" customFormat="1">
      <c r="A151" s="248"/>
      <c r="D151" s="1993"/>
      <c r="K151" s="57"/>
      <c r="L151" s="57"/>
    </row>
    <row r="152" spans="1:12" s="1992" customFormat="1">
      <c r="A152" s="248"/>
      <c r="D152" s="1993"/>
      <c r="K152" s="57"/>
      <c r="L152" s="57"/>
    </row>
    <row r="153" spans="1:12" s="1992" customFormat="1">
      <c r="A153" s="248"/>
      <c r="D153" s="1993"/>
      <c r="K153" s="57"/>
      <c r="L153" s="57"/>
    </row>
    <row r="154" spans="1:12" s="1992" customFormat="1">
      <c r="A154" s="248"/>
      <c r="D154" s="1993"/>
      <c r="K154" s="57"/>
      <c r="L154" s="57"/>
    </row>
    <row r="155" spans="1:12" s="1992" customFormat="1">
      <c r="A155" s="248"/>
      <c r="D155" s="1993"/>
      <c r="K155" s="57"/>
      <c r="L155" s="57"/>
    </row>
    <row r="156" spans="1:12" s="1992" customFormat="1">
      <c r="A156" s="248"/>
      <c r="D156" s="1993"/>
      <c r="K156" s="57"/>
      <c r="L156" s="57"/>
    </row>
    <row r="157" spans="1:12" s="1992" customFormat="1">
      <c r="A157" s="248"/>
      <c r="D157" s="1993"/>
      <c r="K157" s="57"/>
      <c r="L157" s="57"/>
    </row>
    <row r="158" spans="1:12" s="1992" customFormat="1">
      <c r="A158" s="248"/>
      <c r="D158" s="1993"/>
      <c r="K158" s="57"/>
      <c r="L158" s="57"/>
    </row>
    <row r="159" spans="1:12" s="1992" customFormat="1">
      <c r="A159" s="248"/>
      <c r="D159" s="1993"/>
      <c r="K159" s="57"/>
      <c r="L159" s="57"/>
    </row>
    <row r="160" spans="1:12" s="1992" customFormat="1">
      <c r="A160" s="248"/>
      <c r="D160" s="1993"/>
      <c r="K160" s="57"/>
      <c r="L160" s="57"/>
    </row>
    <row r="161" spans="1:12" s="1992" customFormat="1">
      <c r="A161" s="248"/>
      <c r="D161" s="1993"/>
      <c r="K161" s="57"/>
      <c r="L161" s="57"/>
    </row>
    <row r="162" spans="1:12" s="1992" customFormat="1">
      <c r="A162" s="248"/>
      <c r="D162" s="1993"/>
      <c r="K162" s="57"/>
      <c r="L162" s="57"/>
    </row>
    <row r="163" spans="1:12" s="1992" customFormat="1">
      <c r="A163" s="248"/>
      <c r="D163" s="1993"/>
      <c r="K163" s="57"/>
      <c r="L163" s="57"/>
    </row>
    <row r="164" spans="1:12" s="1992" customFormat="1">
      <c r="A164" s="248"/>
      <c r="D164" s="1993"/>
      <c r="K164" s="57"/>
      <c r="L164" s="57"/>
    </row>
    <row r="165" spans="1:12" s="1992" customFormat="1">
      <c r="A165" s="248"/>
      <c r="D165" s="1993"/>
      <c r="K165" s="57"/>
      <c r="L165" s="57"/>
    </row>
    <row r="166" spans="1:12" s="1992" customFormat="1">
      <c r="A166" s="248"/>
      <c r="D166" s="1993"/>
      <c r="K166" s="57"/>
      <c r="L166" s="57"/>
    </row>
    <row r="167" spans="1:12" s="1992" customFormat="1">
      <c r="A167" s="248"/>
      <c r="D167" s="1993"/>
      <c r="K167" s="57"/>
      <c r="L167" s="57"/>
    </row>
    <row r="168" spans="1:12" s="1992" customFormat="1">
      <c r="A168" s="248"/>
      <c r="D168" s="1993"/>
      <c r="K168" s="57"/>
      <c r="L168" s="57"/>
    </row>
    <row r="169" spans="1:12" s="1992" customFormat="1">
      <c r="A169" s="248"/>
      <c r="D169" s="1993"/>
      <c r="K169" s="57"/>
      <c r="L169" s="57"/>
    </row>
    <row r="170" spans="1:12" s="1992" customFormat="1">
      <c r="A170" s="248"/>
      <c r="D170" s="1993"/>
      <c r="K170" s="57"/>
      <c r="L170" s="57"/>
    </row>
    <row r="171" spans="1:12" s="1992" customFormat="1">
      <c r="A171" s="248"/>
      <c r="D171" s="1993"/>
      <c r="K171" s="57"/>
      <c r="L171" s="57"/>
    </row>
    <row r="172" spans="1:12" s="1992" customFormat="1">
      <c r="A172" s="248"/>
      <c r="D172" s="1993"/>
      <c r="K172" s="57"/>
      <c r="L172" s="57"/>
    </row>
    <row r="173" spans="1:12" s="1992" customFormat="1">
      <c r="A173" s="248"/>
      <c r="D173" s="1993"/>
      <c r="K173" s="57"/>
      <c r="L173" s="57"/>
    </row>
    <row r="174" spans="1:12" s="1992" customFormat="1">
      <c r="A174" s="248"/>
      <c r="D174" s="1993"/>
      <c r="K174" s="57"/>
      <c r="L174" s="57"/>
    </row>
    <row r="175" spans="1:12" s="1992" customFormat="1">
      <c r="A175" s="248"/>
      <c r="D175" s="1993"/>
      <c r="K175" s="57"/>
      <c r="L175" s="57"/>
    </row>
    <row r="176" spans="1:12" s="1992" customFormat="1">
      <c r="A176" s="248"/>
      <c r="D176" s="1993"/>
      <c r="K176" s="57"/>
      <c r="L176" s="57"/>
    </row>
    <row r="177" spans="1:12" s="1992" customFormat="1">
      <c r="A177" s="248"/>
      <c r="D177" s="1993"/>
      <c r="K177" s="57"/>
      <c r="L177" s="57"/>
    </row>
    <row r="178" spans="1:12" s="1992" customFormat="1">
      <c r="A178" s="248"/>
      <c r="D178" s="1993"/>
      <c r="K178" s="57"/>
      <c r="L178" s="57"/>
    </row>
    <row r="179" spans="1:12" s="1992" customFormat="1">
      <c r="A179" s="248"/>
      <c r="D179" s="1993"/>
      <c r="K179" s="57"/>
      <c r="L179" s="57"/>
    </row>
    <row r="180" spans="1:12" s="1992" customFormat="1">
      <c r="A180" s="248"/>
      <c r="D180" s="1993"/>
      <c r="K180" s="57"/>
      <c r="L180" s="57"/>
    </row>
    <row r="181" spans="1:12" s="1992" customFormat="1">
      <c r="A181" s="248"/>
      <c r="D181" s="1993"/>
      <c r="K181" s="57"/>
      <c r="L181" s="57"/>
    </row>
    <row r="182" spans="1:12" s="1992" customFormat="1">
      <c r="A182" s="248"/>
      <c r="D182" s="1993"/>
      <c r="K182" s="57"/>
      <c r="L182" s="57"/>
    </row>
    <row r="183" spans="1:12" s="1992" customFormat="1">
      <c r="A183" s="248"/>
      <c r="D183" s="1993"/>
      <c r="K183" s="57"/>
      <c r="L183" s="57"/>
    </row>
    <row r="184" spans="1:12" s="1992" customFormat="1">
      <c r="A184" s="248"/>
      <c r="D184" s="1993"/>
      <c r="K184" s="57"/>
      <c r="L184" s="57"/>
    </row>
    <row r="185" spans="1:12" s="1992" customFormat="1">
      <c r="A185" s="248"/>
      <c r="D185" s="1993"/>
      <c r="K185" s="57"/>
      <c r="L185" s="57"/>
    </row>
    <row r="186" spans="1:12" s="1992" customFormat="1">
      <c r="A186" s="248"/>
      <c r="D186" s="1993"/>
      <c r="K186" s="57"/>
      <c r="L186" s="57"/>
    </row>
    <row r="187" spans="1:12" s="1992" customFormat="1">
      <c r="A187" s="248"/>
      <c r="D187" s="1993"/>
      <c r="K187" s="57"/>
      <c r="L187" s="57"/>
    </row>
    <row r="188" spans="1:12" s="1992" customFormat="1">
      <c r="A188" s="248"/>
      <c r="D188" s="1993"/>
      <c r="K188" s="57"/>
      <c r="L188" s="57"/>
    </row>
    <row r="189" spans="1:12" s="1992" customFormat="1">
      <c r="A189" s="248"/>
      <c r="D189" s="1993"/>
      <c r="K189" s="57"/>
      <c r="L189" s="57"/>
    </row>
    <row r="190" spans="1:12" s="1992" customFormat="1">
      <c r="A190" s="248"/>
      <c r="D190" s="1993"/>
      <c r="K190" s="57"/>
      <c r="L190" s="57"/>
    </row>
    <row r="191" spans="1:12" s="1992" customFormat="1">
      <c r="A191" s="248"/>
      <c r="D191" s="1993"/>
      <c r="K191" s="57"/>
      <c r="L191" s="57"/>
    </row>
    <row r="192" spans="1:12" s="1992" customFormat="1">
      <c r="A192" s="248"/>
      <c r="D192" s="1993"/>
      <c r="K192" s="57"/>
      <c r="L192" s="57"/>
    </row>
  </sheetData>
  <sheetProtection password="C66D" sheet="1" objects="1" scenarios="1" formatCells="0" formatColumns="0" formatRows="0"/>
  <dataConsolidate/>
  <phoneticPr fontId="3" type="noConversion"/>
  <conditionalFormatting sqref="T6:T15">
    <cfRule type="containsText" dxfId="196" priority="12" stopIfTrue="1" operator="containsText" text="自行计算">
      <formula>NOT(ISERROR(SEARCH("自行计算",T6)))</formula>
    </cfRule>
    <cfRule type="containsText" dxfId="195" priority="13" stopIfTrue="1" operator="containsText" text="自行计算">
      <formula>NOT(ISERROR(SEARCH("自行计算",T6)))</formula>
    </cfRule>
  </conditionalFormatting>
  <conditionalFormatting sqref="T6:T13">
    <cfRule type="containsText" dxfId="194" priority="10" stopIfTrue="1" operator="containsText" text="自行计算">
      <formula>NOT(ISERROR(SEARCH("自行计算",T6)))</formula>
    </cfRule>
    <cfRule type="containsText" dxfId="193" priority="11" stopIfTrue="1" operator="containsText" text="自行计算">
      <formula>NOT(ISERROR(SEARCH("自行计算",T6)))</formula>
    </cfRule>
  </conditionalFormatting>
  <conditionalFormatting sqref="T12:T13">
    <cfRule type="containsText" dxfId="192" priority="4" stopIfTrue="1" operator="containsText" text="自行计算">
      <formula>NOT(ISERROR(SEARCH("自行计算",T12)))</formula>
    </cfRule>
    <cfRule type="containsText" dxfId="191" priority="5" stopIfTrue="1" operator="containsText" text="自行计算">
      <formula>NOT(ISERROR(SEARCH("自行计算",T12)))</formula>
    </cfRule>
  </conditionalFormatting>
  <conditionalFormatting sqref="T12:T13">
    <cfRule type="containsText" dxfId="190" priority="2" stopIfTrue="1" operator="containsText" text="自行计算">
      <formula>NOT(ISERROR(SEARCH("自行计算",T12)))</formula>
    </cfRule>
    <cfRule type="containsText" dxfId="189" priority="3" stopIfTrue="1" operator="containsText" text="自行计算">
      <formula>NOT(ISERROR(SEARCH("自行计算",T12)))</formula>
    </cfRule>
  </conditionalFormatting>
  <conditionalFormatting sqref="T6:T15">
    <cfRule type="expression" dxfId="188"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9" sqref="I9"/>
    </sheetView>
  </sheetViews>
  <sheetFormatPr defaultRowHeight="13.5"/>
  <cols>
    <col min="1" max="1" width="9.5" style="2002" customWidth="1"/>
    <col min="2" max="2" width="24.5" style="2017" customWidth="1"/>
    <col min="3" max="3" width="24.5" style="2019" customWidth="1"/>
    <col min="4" max="4" width="2.625" style="2019" customWidth="1"/>
    <col min="5" max="5" width="5.875" style="2019" customWidth="1"/>
    <col min="6" max="6" width="27" style="2017" customWidth="1"/>
    <col min="7" max="7" width="27" style="2018" customWidth="1"/>
    <col min="8" max="8" width="11.875" style="2017" customWidth="1"/>
    <col min="9" max="9" width="16.75" style="2018" customWidth="1"/>
    <col min="10" max="10" width="2.625" style="2019" customWidth="1"/>
    <col min="11" max="11" width="11.875" style="2017" customWidth="1"/>
    <col min="12" max="12" width="16.75" style="2018" customWidth="1"/>
    <col min="13" max="13" width="2.625" style="2019" customWidth="1"/>
    <col min="14" max="14" width="11.875" style="2017" customWidth="1"/>
    <col min="15" max="15" width="16.75" style="2018" customWidth="1"/>
    <col min="16" max="16" width="2.625" style="2019" customWidth="1"/>
    <col min="17" max="17" width="11.875" style="2017" customWidth="1"/>
    <col min="18" max="18" width="16.75" style="2020" customWidth="1"/>
    <col min="19" max="16384" width="9" style="2002"/>
  </cols>
  <sheetData>
    <row r="1" spans="1:18" s="2001" customFormat="1" ht="19.5" thickBot="1">
      <c r="A1" s="3368" t="s">
        <v>1657</v>
      </c>
      <c r="B1" s="3369"/>
      <c r="C1" s="3369"/>
      <c r="D1" s="3369"/>
      <c r="E1" s="3369"/>
      <c r="F1" s="3369"/>
      <c r="G1" s="3369"/>
      <c r="H1" s="1996"/>
      <c r="I1" s="1997"/>
      <c r="J1" s="1998"/>
      <c r="K1" s="1996"/>
      <c r="L1" s="1997"/>
      <c r="M1" s="1998"/>
      <c r="N1" s="1996"/>
      <c r="O1" s="1997"/>
      <c r="P1" s="1998"/>
      <c r="Q1" s="1999"/>
      <c r="R1" s="2000"/>
    </row>
    <row r="2" spans="1:18" ht="14.25" thickBot="1">
      <c r="A2" s="1216"/>
      <c r="B2" s="1217"/>
      <c r="C2" s="1218" t="s">
        <v>1658</v>
      </c>
      <c r="D2" s="1219"/>
      <c r="E2" s="1220"/>
      <c r="F2" s="1221"/>
      <c r="G2" s="1218" t="s">
        <v>1659</v>
      </c>
      <c r="H2" s="2002"/>
      <c r="I2" s="2002"/>
      <c r="J2" s="2002"/>
      <c r="K2" s="2002"/>
      <c r="L2" s="2002"/>
      <c r="M2" s="2002"/>
      <c r="N2" s="2002"/>
      <c r="O2" s="2002"/>
      <c r="P2" s="2002"/>
      <c r="Q2" s="2002"/>
      <c r="R2" s="2002"/>
    </row>
    <row r="3" spans="1:18" ht="81">
      <c r="A3" s="1222" t="s">
        <v>1660</v>
      </c>
      <c r="B3" s="1223" t="s">
        <v>1647</v>
      </c>
      <c r="C3" s="3158" t="s">
        <v>3204</v>
      </c>
      <c r="D3" s="2003"/>
      <c r="E3" s="1224" t="s">
        <v>1660</v>
      </c>
      <c r="F3" s="1225" t="s">
        <v>1648</v>
      </c>
      <c r="G3" s="3101" t="s">
        <v>2917</v>
      </c>
      <c r="H3" s="2002"/>
      <c r="I3" s="2002"/>
      <c r="J3" s="2002"/>
      <c r="K3" s="2002"/>
      <c r="L3" s="2002"/>
      <c r="M3" s="2002"/>
      <c r="N3" s="2002"/>
      <c r="O3" s="2002"/>
      <c r="P3" s="2002"/>
      <c r="Q3" s="2002"/>
      <c r="R3" s="2002"/>
    </row>
    <row r="4" spans="1:18" ht="54">
      <c r="A4" s="1224"/>
      <c r="B4" s="1226" t="s">
        <v>1661</v>
      </c>
      <c r="C4" s="3163" t="s">
        <v>3273</v>
      </c>
      <c r="D4" s="2003"/>
      <c r="E4" s="1227"/>
      <c r="F4" s="1228" t="s">
        <v>1662</v>
      </c>
      <c r="G4" s="3100" t="s">
        <v>2914</v>
      </c>
      <c r="H4" s="2002"/>
      <c r="I4" s="2002"/>
      <c r="J4" s="2002"/>
      <c r="K4" s="2002"/>
      <c r="L4" s="2002"/>
      <c r="M4" s="2002"/>
      <c r="N4" s="2002"/>
      <c r="O4" s="2002"/>
      <c r="P4" s="2002"/>
      <c r="Q4" s="2002"/>
      <c r="R4" s="2002"/>
    </row>
    <row r="5" spans="1:18" ht="67.5">
      <c r="A5" s="1224"/>
      <c r="B5" s="1226" t="s">
        <v>1663</v>
      </c>
      <c r="C5" s="3163" t="s">
        <v>3274</v>
      </c>
      <c r="D5" s="2003"/>
      <c r="E5" s="1227"/>
      <c r="F5" s="1226" t="s">
        <v>2543</v>
      </c>
      <c r="G5" s="3100" t="s">
        <v>2915</v>
      </c>
      <c r="H5" s="2002"/>
      <c r="I5" s="2002"/>
      <c r="J5" s="2002"/>
      <c r="K5" s="2002"/>
      <c r="L5" s="2002"/>
      <c r="M5" s="2002"/>
      <c r="N5" s="2002"/>
      <c r="O5" s="2002"/>
      <c r="P5" s="2002"/>
      <c r="Q5" s="2002"/>
      <c r="R5" s="2002"/>
    </row>
    <row r="6" spans="1:18" ht="81">
      <c r="A6" s="1224"/>
      <c r="B6" s="1226" t="s">
        <v>1649</v>
      </c>
      <c r="C6" s="3160" t="s">
        <v>3205</v>
      </c>
      <c r="D6" s="2003"/>
      <c r="E6" s="1227"/>
      <c r="F6" s="1226" t="s">
        <v>2544</v>
      </c>
      <c r="G6" s="3100" t="s">
        <v>2913</v>
      </c>
      <c r="H6" s="2002"/>
      <c r="I6" s="2002"/>
      <c r="J6" s="2002"/>
      <c r="K6" s="2002"/>
      <c r="L6" s="2002"/>
      <c r="M6" s="2002"/>
      <c r="N6" s="2002"/>
      <c r="O6" s="2002"/>
      <c r="P6" s="2002"/>
      <c r="Q6" s="2002"/>
      <c r="R6" s="2002"/>
    </row>
    <row r="7" spans="1:18" ht="41.25" thickBot="1">
      <c r="A7" s="1224"/>
      <c r="B7" s="1226" t="s">
        <v>2543</v>
      </c>
      <c r="C7" s="3160" t="s">
        <v>3206</v>
      </c>
      <c r="D7" s="2004"/>
      <c r="E7" s="1229"/>
      <c r="F7" s="1230" t="s">
        <v>1664</v>
      </c>
      <c r="G7" s="3102" t="s">
        <v>2916</v>
      </c>
      <c r="H7" s="2002"/>
      <c r="I7" s="2002"/>
      <c r="J7" s="2002"/>
      <c r="K7" s="2002"/>
      <c r="L7" s="2002"/>
      <c r="M7" s="2002"/>
      <c r="N7" s="2002"/>
      <c r="O7" s="2002"/>
      <c r="P7" s="2002"/>
      <c r="Q7" s="2002"/>
      <c r="R7" s="2002"/>
    </row>
    <row r="8" spans="1:18" ht="27">
      <c r="A8" s="1224"/>
      <c r="B8" s="1226" t="s">
        <v>2544</v>
      </c>
      <c r="C8" s="3160" t="s">
        <v>3035</v>
      </c>
      <c r="D8" s="2004"/>
      <c r="E8" s="2004"/>
      <c r="F8" s="1548"/>
      <c r="G8" s="1548"/>
      <c r="H8" s="2002"/>
      <c r="I8" s="2002"/>
      <c r="J8" s="2002"/>
      <c r="K8" s="2002"/>
      <c r="L8" s="2002"/>
      <c r="M8" s="2002"/>
      <c r="N8" s="2002"/>
      <c r="O8" s="2002"/>
      <c r="P8" s="2002"/>
      <c r="Q8" s="2002"/>
      <c r="R8" s="2002"/>
    </row>
    <row r="9" spans="1:18" ht="27">
      <c r="A9" s="1224"/>
      <c r="B9" s="1226" t="s">
        <v>1650</v>
      </c>
      <c r="C9" s="3159" t="s">
        <v>3252</v>
      </c>
      <c r="D9" s="2003"/>
      <c r="E9" s="2004"/>
      <c r="F9" s="1548"/>
      <c r="G9" s="1548"/>
      <c r="H9" s="2002"/>
      <c r="I9" s="2002"/>
      <c r="J9" s="2002"/>
      <c r="K9" s="2002"/>
      <c r="L9" s="2002"/>
      <c r="M9" s="2002"/>
      <c r="N9" s="2002"/>
      <c r="O9" s="2002"/>
      <c r="P9" s="2002"/>
      <c r="Q9" s="2002"/>
      <c r="R9" s="2002"/>
    </row>
    <row r="10" spans="1:18" s="2010" customFormat="1" ht="14.25" thickBot="1">
      <c r="A10" s="1231"/>
      <c r="B10" s="1232" t="s">
        <v>1665</v>
      </c>
      <c r="C10" s="3161" t="s">
        <v>3207</v>
      </c>
      <c r="D10" s="2003"/>
      <c r="E10" s="2003"/>
      <c r="F10" s="1548"/>
      <c r="G10" s="1548"/>
      <c r="H10" s="2007"/>
      <c r="I10" s="2008"/>
      <c r="J10" s="2009"/>
      <c r="K10" s="2007"/>
      <c r="L10" s="2008"/>
      <c r="M10" s="2009"/>
      <c r="N10" s="2007"/>
      <c r="O10" s="2008"/>
      <c r="P10" s="2009"/>
      <c r="Q10" s="2007"/>
      <c r="R10" s="2008"/>
    </row>
    <row r="11" spans="1:18" s="2010" customFormat="1">
      <c r="A11" s="2005"/>
      <c r="B11" s="2004"/>
      <c r="C11" s="2003"/>
      <c r="D11" s="2003"/>
      <c r="E11" s="2003"/>
      <c r="F11" s="2004"/>
      <c r="G11" s="2006"/>
      <c r="H11" s="2007"/>
      <c r="I11" s="2008"/>
      <c r="J11" s="2009"/>
      <c r="K11" s="2007"/>
      <c r="L11" s="2008"/>
      <c r="M11" s="2009"/>
      <c r="N11" s="2007"/>
      <c r="O11" s="2008"/>
      <c r="P11" s="2009"/>
      <c r="Q11" s="2007"/>
      <c r="R11" s="2008"/>
    </row>
    <row r="12" spans="1:18" s="2001" customFormat="1" ht="18.75">
      <c r="A12" s="2005"/>
      <c r="B12" s="2004"/>
      <c r="C12" s="2003"/>
      <c r="D12" s="2596"/>
      <c r="E12" s="2003"/>
      <c r="F12" s="2004"/>
      <c r="G12" s="2006"/>
      <c r="H12" s="2011"/>
      <c r="I12" s="2012"/>
      <c r="J12" s="2011"/>
      <c r="K12" s="2011"/>
      <c r="L12" s="2013"/>
      <c r="M12" s="2011"/>
      <c r="N12" s="2014"/>
      <c r="O12" s="2015"/>
      <c r="P12" s="2016"/>
      <c r="Q12" s="2014"/>
      <c r="R12" s="2000"/>
    </row>
    <row r="13" spans="1:18" ht="19.5" thickBot="1">
      <c r="A13" s="2595" t="s">
        <v>1666</v>
      </c>
      <c r="B13" s="2596"/>
      <c r="C13" s="2596"/>
      <c r="D13" s="1219"/>
      <c r="E13" s="2596"/>
      <c r="F13" s="2596"/>
      <c r="G13" s="2596"/>
    </row>
    <row r="14" spans="1:18" ht="14.25" thickBot="1">
      <c r="A14" s="1233"/>
      <c r="B14" s="1234"/>
      <c r="C14" s="1235" t="s">
        <v>1658</v>
      </c>
      <c r="D14" s="2003"/>
      <c r="E14" s="1236"/>
      <c r="F14" s="1236"/>
      <c r="G14" s="1218" t="s">
        <v>1659</v>
      </c>
    </row>
    <row r="15" spans="1:18" ht="81">
      <c r="A15" s="2606" t="s">
        <v>1651</v>
      </c>
      <c r="B15" s="1237" t="s">
        <v>1647</v>
      </c>
      <c r="C15" s="1238" t="str">
        <f>C3</f>
        <v>估价对象周边居住用地比例较高、居住小区规模和社区发展完善程度较好，有丰盛园、长城公寓、天津公馆等项目，综合评价居住社区成熟度较好</v>
      </c>
      <c r="D15" s="2003"/>
      <c r="E15" s="2603" t="s">
        <v>1652</v>
      </c>
      <c r="F15" s="1237" t="s">
        <v>1667</v>
      </c>
      <c r="G15" s="1239" t="str">
        <f>G3</f>
        <v>估价对象位于XX开发区，园区建设成熟度XX，产业集聚程度XX</v>
      </c>
    </row>
    <row r="16" spans="1:18" ht="54">
      <c r="A16" s="2607"/>
      <c r="B16" s="1240" t="s">
        <v>1661</v>
      </c>
      <c r="C16" s="1241" t="str">
        <f>C4</f>
        <v>估价对象周边商业氛围成熟度一般，人流量一般，有河东商城等项目，商业繁华度一般</v>
      </c>
      <c r="D16" s="2003"/>
      <c r="E16" s="2604"/>
      <c r="F16" s="1242" t="s">
        <v>1662</v>
      </c>
      <c r="G16" s="1000" t="str">
        <f>G4</f>
        <v>估价对象周边道路状况、公共交通通达情况、停车便捷程度，综合评价交通便捷度较好</v>
      </c>
    </row>
    <row r="17" spans="1:7" ht="67.5">
      <c r="A17" s="2607"/>
      <c r="B17" s="1240" t="s">
        <v>1663</v>
      </c>
      <c r="C17" s="1241" t="str">
        <f>C5</f>
        <v>估价对象周边商务办公氛围较好，有泰达大厦、金皇大厦、万通中心等多个写字楼项目，办公集聚程度较好</v>
      </c>
      <c r="D17" s="2004"/>
      <c r="E17" s="2604"/>
      <c r="F17" s="1242" t="s">
        <v>1668</v>
      </c>
      <c r="G17" s="2814"/>
    </row>
    <row r="18" spans="1:7" ht="81">
      <c r="A18" s="2607"/>
      <c r="B18" s="1242" t="s">
        <v>1649</v>
      </c>
      <c r="C18" s="1000" t="str">
        <f>C6</f>
        <v>估价对象周边1公里有92、840路等公交车及地铁1、9号线经过，公共交通通达情况较好、停车便捷程度较好，综合评价交通便捷度较好</v>
      </c>
      <c r="D18" s="2004"/>
      <c r="E18" s="2604"/>
      <c r="F18" s="1242" t="s">
        <v>1664</v>
      </c>
      <c r="G18" s="1000" t="str">
        <f>G7</f>
        <v>该园区内是否有污染型企业，绿化情况，卫生条件，整体环境状况判断</v>
      </c>
    </row>
    <row r="19" spans="1:7" ht="27">
      <c r="A19" s="2607"/>
      <c r="B19" s="1242" t="s">
        <v>1653</v>
      </c>
      <c r="C19" s="3162" t="s">
        <v>3032</v>
      </c>
      <c r="D19" s="2003"/>
      <c r="E19" s="2604"/>
      <c r="F19" s="1226" t="s">
        <v>2543</v>
      </c>
      <c r="G19" s="1000" t="str">
        <f>G5</f>
        <v>估价对象所在区域公共配套设施齐备情况</v>
      </c>
    </row>
    <row r="20" spans="1:7" ht="27">
      <c r="A20" s="2607"/>
      <c r="B20" s="1242" t="s">
        <v>1654</v>
      </c>
      <c r="C20" s="1241" t="str">
        <f>C9</f>
        <v>周边2公里内区域自然环境较好</v>
      </c>
      <c r="D20" s="2004"/>
      <c r="E20" s="2604"/>
      <c r="F20" s="1226" t="s">
        <v>2544</v>
      </c>
      <c r="G20" s="1000" t="str">
        <f>G6</f>
        <v>估价对象所在区域基础设施水平</v>
      </c>
    </row>
    <row r="21" spans="1:7" ht="27">
      <c r="A21" s="2607"/>
      <c r="B21" s="1226" t="s">
        <v>2543</v>
      </c>
      <c r="C21" s="1000" t="str">
        <f>C7</f>
        <v>估价对象所在区域公共配套设施齐备情况一般</v>
      </c>
      <c r="D21" s="2003"/>
      <c r="E21" s="2604"/>
      <c r="F21" s="1242" t="s">
        <v>1655</v>
      </c>
      <c r="G21" s="3103"/>
    </row>
    <row r="22" spans="1:7" ht="27">
      <c r="A22" s="2607"/>
      <c r="B22" s="1226" t="s">
        <v>2544</v>
      </c>
      <c r="C22" s="1000" t="str">
        <f>C8</f>
        <v>估价对象所在区域基础设施水平-六通</v>
      </c>
      <c r="D22" s="2003"/>
      <c r="E22" s="2604"/>
      <c r="F22" s="1242" t="s">
        <v>1665</v>
      </c>
      <c r="G22" s="2814"/>
    </row>
    <row r="23" spans="1:7" ht="15" thickBot="1">
      <c r="A23" s="2607"/>
      <c r="B23" s="1242" t="s">
        <v>1655</v>
      </c>
      <c r="C23" s="3103" t="s">
        <v>3033</v>
      </c>
      <c r="E23" s="2605"/>
      <c r="F23" s="1243" t="s">
        <v>1669</v>
      </c>
      <c r="G23" s="3104"/>
    </row>
    <row r="24" spans="1:7" ht="14.25" thickBot="1">
      <c r="A24" s="2608"/>
      <c r="B24" s="1243" t="s">
        <v>1656</v>
      </c>
      <c r="C24" s="1244" t="str">
        <f>C10</f>
        <v>城市次干道——海河东路</v>
      </c>
      <c r="E24" s="2021"/>
      <c r="F24" s="2021"/>
      <c r="G24" s="2022"/>
    </row>
    <row r="25" spans="1:7">
      <c r="E25" s="2002"/>
      <c r="F25" s="2002"/>
      <c r="G25" s="2002"/>
    </row>
    <row r="26" spans="1:7">
      <c r="E26" s="2002"/>
      <c r="F26" s="2002"/>
      <c r="G26" s="2002"/>
    </row>
    <row r="27" spans="1:7">
      <c r="E27" s="2002"/>
      <c r="F27" s="2002"/>
      <c r="G27" s="2002"/>
    </row>
    <row r="28" spans="1:7">
      <c r="E28" s="2002"/>
      <c r="F28" s="2002"/>
      <c r="G28" s="2002"/>
    </row>
    <row r="29" spans="1:7">
      <c r="E29" s="2002"/>
      <c r="F29" s="2002"/>
      <c r="G29" s="2002"/>
    </row>
    <row r="30" spans="1:7">
      <c r="E30" s="2002"/>
      <c r="F30" s="2002"/>
      <c r="G30" s="2002"/>
    </row>
    <row r="31" spans="1:7">
      <c r="E31" s="2002"/>
      <c r="F31" s="2002"/>
      <c r="G31" s="2002"/>
    </row>
    <row r="32" spans="1:7">
      <c r="E32" s="2002"/>
      <c r="F32" s="2002"/>
      <c r="G32" s="2002"/>
    </row>
    <row r="33" spans="5:7">
      <c r="E33" s="2002"/>
      <c r="F33" s="2002"/>
      <c r="G33" s="2002"/>
    </row>
    <row r="34" spans="5:7">
      <c r="E34" s="2002"/>
      <c r="F34" s="2002"/>
      <c r="G34" s="2002"/>
    </row>
    <row r="35" spans="5:7">
      <c r="E35" s="2002"/>
      <c r="F35" s="2002"/>
      <c r="G35" s="2002"/>
    </row>
    <row r="36" spans="5:7">
      <c r="E36" s="2002"/>
      <c r="F36" s="2002"/>
      <c r="G36" s="2002"/>
    </row>
    <row r="37" spans="5:7">
      <c r="E37" s="2002"/>
      <c r="F37" s="2002"/>
      <c r="G37" s="200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H21" sqref="H21"/>
    </sheetView>
  </sheetViews>
  <sheetFormatPr defaultColWidth="14.625" defaultRowHeight="13.5"/>
  <cols>
    <col min="1" max="1" width="24.375" customWidth="1"/>
  </cols>
  <sheetData>
    <row r="1" spans="1:9" ht="16.5">
      <c r="A1" s="3064" t="s">
        <v>2843</v>
      </c>
      <c r="B1" s="3064">
        <f>SUM(B14:B23)</f>
        <v>412759.99</v>
      </c>
      <c r="C1" s="3065"/>
      <c r="D1" s="3065"/>
      <c r="E1" s="3065"/>
      <c r="F1" s="3065"/>
    </row>
    <row r="2" spans="1:9" ht="16.5">
      <c r="A2" s="3064" t="s">
        <v>2844</v>
      </c>
      <c r="B2" s="3064">
        <f>SUM(C14:C23)</f>
        <v>121315.1</v>
      </c>
      <c r="C2" s="3065"/>
      <c r="D2" s="3065"/>
      <c r="E2" s="3065"/>
      <c r="F2" s="3065"/>
    </row>
    <row r="3" spans="1:9" ht="16.5">
      <c r="A3" s="3064" t="s">
        <v>2845</v>
      </c>
      <c r="B3" s="3066">
        <f>项目基本情况!D3</f>
        <v>43035</v>
      </c>
      <c r="C3" s="3065"/>
      <c r="D3" s="3065"/>
      <c r="E3" s="3065"/>
      <c r="F3" s="3065"/>
    </row>
    <row r="4" spans="1:9" ht="33">
      <c r="A4" s="3064" t="s">
        <v>2846</v>
      </c>
      <c r="B4" s="3064" t="s">
        <v>2847</v>
      </c>
      <c r="C4" s="3064" t="s">
        <v>2848</v>
      </c>
      <c r="D4" s="3064" t="s">
        <v>2849</v>
      </c>
      <c r="E4" s="3065"/>
      <c r="F4" s="3065"/>
    </row>
    <row r="5" spans="1:9" ht="16.5">
      <c r="A5" s="3064" t="s">
        <v>2850</v>
      </c>
      <c r="B5" s="3064">
        <f ca="1">SUM(D14:D23)</f>
        <v>581748</v>
      </c>
      <c r="C5" s="3064">
        <f ca="1">ROUND(B5*10000/$B$1,0)</f>
        <v>14094</v>
      </c>
      <c r="D5" s="3064">
        <f ca="1">ROUND(B5*10000/$B$2,0)</f>
        <v>47953</v>
      </c>
      <c r="E5" s="3065"/>
      <c r="F5" s="3065"/>
    </row>
    <row r="6" spans="1:9" ht="16.5">
      <c r="A6" s="3064" t="s">
        <v>2851</v>
      </c>
      <c r="B6" s="3064">
        <f ca="1">SUM(G14:G23)</f>
        <v>581748</v>
      </c>
      <c r="C6" s="3064">
        <f t="shared" ref="C6:C8" ca="1" si="0">ROUND(B6*10000/$B$1,0)</f>
        <v>14094</v>
      </c>
      <c r="D6" s="3064">
        <f t="shared" ref="D6:D8" ca="1" si="1">ROUND(B6*10000/$B$2,0)</f>
        <v>47953</v>
      </c>
      <c r="E6" s="3065"/>
      <c r="F6" s="3065"/>
    </row>
    <row r="7" spans="1:9" ht="16.5">
      <c r="A7" s="3064" t="s">
        <v>2852</v>
      </c>
      <c r="B7" s="3064">
        <f>SUM(H14:H23)</f>
        <v>0</v>
      </c>
      <c r="C7" s="3064">
        <f t="shared" si="0"/>
        <v>0</v>
      </c>
      <c r="D7" s="3064">
        <f t="shared" si="1"/>
        <v>0</v>
      </c>
      <c r="E7" s="3065"/>
      <c r="F7" s="3065"/>
    </row>
    <row r="8" spans="1:9" ht="16.5">
      <c r="A8" s="3064" t="s">
        <v>2853</v>
      </c>
      <c r="B8" s="3064">
        <f>SUM(I14:I23)</f>
        <v>0</v>
      </c>
      <c r="C8" s="3064">
        <f t="shared" si="0"/>
        <v>0</v>
      </c>
      <c r="D8" s="3064">
        <f t="shared" si="1"/>
        <v>0</v>
      </c>
      <c r="E8" s="3065"/>
      <c r="F8" s="3065"/>
    </row>
    <row r="9" spans="1:9" ht="16.5">
      <c r="A9" s="3064" t="s">
        <v>2854</v>
      </c>
      <c r="B9" s="3067"/>
      <c r="C9" s="3065"/>
      <c r="D9" s="3065"/>
      <c r="E9" s="3065"/>
      <c r="F9" s="3065"/>
    </row>
    <row r="10" spans="1:9" ht="16.5">
      <c r="A10" s="3064" t="s">
        <v>2855</v>
      </c>
      <c r="B10" s="3067"/>
      <c r="C10" s="3065"/>
      <c r="D10" s="3065"/>
      <c r="E10" s="3065"/>
      <c r="F10" s="3065"/>
    </row>
    <row r="11" spans="1:9" ht="16.5">
      <c r="A11" s="3064" t="s">
        <v>2872</v>
      </c>
      <c r="B11" s="3067"/>
      <c r="C11" s="3065"/>
      <c r="D11" s="3065"/>
      <c r="E11" s="3065"/>
      <c r="F11" s="3065"/>
    </row>
    <row r="12" spans="1:9" ht="16.5">
      <c r="A12" s="3065"/>
      <c r="B12" s="3065"/>
      <c r="C12" s="3065"/>
      <c r="D12" s="3065"/>
      <c r="E12" s="3065"/>
      <c r="F12" s="3065"/>
    </row>
    <row r="13" spans="1:9" ht="33">
      <c r="A13" s="3070" t="s">
        <v>2871</v>
      </c>
      <c r="B13" s="3068" t="s">
        <v>2843</v>
      </c>
      <c r="C13" s="3068" t="s">
        <v>2844</v>
      </c>
      <c r="D13" s="3068" t="s">
        <v>2856</v>
      </c>
      <c r="E13" s="3064" t="s">
        <v>2870</v>
      </c>
      <c r="F13" s="3064" t="s">
        <v>2849</v>
      </c>
      <c r="G13" s="3068" t="s">
        <v>2857</v>
      </c>
      <c r="H13" s="3068" t="s">
        <v>2858</v>
      </c>
      <c r="I13" s="3068" t="s">
        <v>2859</v>
      </c>
    </row>
    <row r="14" spans="1:9" ht="16.5">
      <c r="A14" s="3071" t="s">
        <v>2869</v>
      </c>
      <c r="B14" s="3068">
        <f>'数据-汇总表'!E3</f>
        <v>412759.99</v>
      </c>
      <c r="C14" s="3068">
        <f>'数据-汇总表'!D3</f>
        <v>121315.1</v>
      </c>
      <c r="D14" s="3068">
        <f ca="1">结果表!C42</f>
        <v>581748</v>
      </c>
      <c r="E14" s="3068">
        <f ca="1">ROUND(D14*10000/B14,0)</f>
        <v>14094</v>
      </c>
      <c r="F14" s="3068">
        <f ca="1">ROUND(D14*10000/C14,0)</f>
        <v>47953</v>
      </c>
      <c r="G14" s="3068">
        <f ca="1">结果表!C44</f>
        <v>581748</v>
      </c>
      <c r="H14" s="3068" t="str">
        <f>结果表!C45</f>
        <v>——</v>
      </c>
      <c r="I14" s="3068" t="str">
        <f>结果表!C46</f>
        <v>——</v>
      </c>
    </row>
    <row r="15" spans="1:9" ht="16.5">
      <c r="A15" s="3071" t="s">
        <v>2860</v>
      </c>
      <c r="B15" s="3072"/>
      <c r="C15" s="3072"/>
      <c r="D15" s="3072"/>
      <c r="E15" s="3068" t="e">
        <f t="shared" ref="E15:E23" si="2">ROUND(D15*10000/B15,0)</f>
        <v>#DIV/0!</v>
      </c>
      <c r="F15" s="3068" t="e">
        <f t="shared" ref="F15:F23" si="3">ROUND(D15*10000/C15,0)</f>
        <v>#DIV/0!</v>
      </c>
      <c r="G15" s="3069"/>
      <c r="H15" s="3069"/>
      <c r="I15" s="3072"/>
    </row>
    <row r="16" spans="1:9" ht="16.5">
      <c r="A16" s="3071" t="s">
        <v>2861</v>
      </c>
      <c r="B16" s="3072"/>
      <c r="C16" s="3072"/>
      <c r="D16" s="3072"/>
      <c r="E16" s="3068" t="e">
        <f t="shared" si="2"/>
        <v>#DIV/0!</v>
      </c>
      <c r="F16" s="3068" t="e">
        <f t="shared" si="3"/>
        <v>#DIV/0!</v>
      </c>
      <c r="G16" s="3069"/>
      <c r="H16" s="3069"/>
      <c r="I16" s="3072"/>
    </row>
    <row r="17" spans="1:9" ht="16.5">
      <c r="A17" s="3071" t="s">
        <v>2862</v>
      </c>
      <c r="B17" s="3072"/>
      <c r="C17" s="3072"/>
      <c r="D17" s="3072"/>
      <c r="E17" s="3068" t="e">
        <f t="shared" si="2"/>
        <v>#DIV/0!</v>
      </c>
      <c r="F17" s="3068" t="e">
        <f t="shared" si="3"/>
        <v>#DIV/0!</v>
      </c>
      <c r="G17" s="3069"/>
      <c r="H17" s="3069"/>
      <c r="I17" s="3072"/>
    </row>
    <row r="18" spans="1:9" ht="16.5">
      <c r="A18" s="3071" t="s">
        <v>2863</v>
      </c>
      <c r="B18" s="3072"/>
      <c r="C18" s="3072"/>
      <c r="D18" s="3072"/>
      <c r="E18" s="3068" t="e">
        <f t="shared" si="2"/>
        <v>#DIV/0!</v>
      </c>
      <c r="F18" s="3068" t="e">
        <f t="shared" si="3"/>
        <v>#DIV/0!</v>
      </c>
      <c r="G18" s="3072"/>
      <c r="H18" s="3072"/>
      <c r="I18" s="3072"/>
    </row>
    <row r="19" spans="1:9" ht="16.5">
      <c r="A19" s="3071" t="s">
        <v>2864</v>
      </c>
      <c r="B19" s="3072"/>
      <c r="C19" s="3072"/>
      <c r="D19" s="3072"/>
      <c r="E19" s="3068" t="e">
        <f t="shared" si="2"/>
        <v>#DIV/0!</v>
      </c>
      <c r="F19" s="3068" t="e">
        <f t="shared" si="3"/>
        <v>#DIV/0!</v>
      </c>
      <c r="G19" s="3072"/>
      <c r="H19" s="3072"/>
      <c r="I19" s="3072"/>
    </row>
    <row r="20" spans="1:9" ht="16.5">
      <c r="A20" s="3071" t="s">
        <v>2865</v>
      </c>
      <c r="B20" s="3072"/>
      <c r="C20" s="3072"/>
      <c r="D20" s="3072"/>
      <c r="E20" s="3068" t="e">
        <f t="shared" si="2"/>
        <v>#DIV/0!</v>
      </c>
      <c r="F20" s="3068" t="e">
        <f t="shared" si="3"/>
        <v>#DIV/0!</v>
      </c>
      <c r="G20" s="3072"/>
      <c r="H20" s="3072"/>
      <c r="I20" s="3072"/>
    </row>
    <row r="21" spans="1:9" ht="16.5">
      <c r="A21" s="3071" t="s">
        <v>2866</v>
      </c>
      <c r="B21" s="3072"/>
      <c r="C21" s="3072"/>
      <c r="D21" s="3072"/>
      <c r="E21" s="3068" t="e">
        <f t="shared" si="2"/>
        <v>#DIV/0!</v>
      </c>
      <c r="F21" s="3068" t="e">
        <f t="shared" si="3"/>
        <v>#DIV/0!</v>
      </c>
      <c r="G21" s="3072"/>
      <c r="H21" s="3072"/>
      <c r="I21" s="3072"/>
    </row>
    <row r="22" spans="1:9" ht="16.5">
      <c r="A22" s="3071" t="s">
        <v>2867</v>
      </c>
      <c r="B22" s="3072"/>
      <c r="C22" s="3072"/>
      <c r="D22" s="3072"/>
      <c r="E22" s="3068" t="e">
        <f t="shared" si="2"/>
        <v>#DIV/0!</v>
      </c>
      <c r="F22" s="3068" t="e">
        <f t="shared" si="3"/>
        <v>#DIV/0!</v>
      </c>
      <c r="G22" s="3072"/>
      <c r="H22" s="3072"/>
      <c r="I22" s="3072"/>
    </row>
    <row r="23" spans="1:9" ht="16.5">
      <c r="A23" s="3071" t="s">
        <v>2868</v>
      </c>
      <c r="B23" s="3072"/>
      <c r="C23" s="3072"/>
      <c r="D23" s="3072"/>
      <c r="E23" s="3064" t="e">
        <f t="shared" si="2"/>
        <v>#DIV/0!</v>
      </c>
      <c r="F23" s="3064" t="e">
        <f t="shared" si="3"/>
        <v>#DIV/0!</v>
      </c>
      <c r="G23" s="3072"/>
      <c r="H23" s="3072"/>
      <c r="I23" s="3072"/>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0" zoomScaleNormal="100" zoomScaleSheetLayoutView="100" zoomScalePageLayoutView="80" workbookViewId="0">
      <selection activeCell="K25" sqref="K25:K30"/>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2" customWidth="1"/>
    <col min="11" max="12" width="12.625" style="252" customWidth="1"/>
    <col min="13" max="13" width="12.625" style="252"/>
    <col min="14" max="14" width="15.625" style="252" bestFit="1" customWidth="1"/>
    <col min="15" max="19" width="12.75" style="252" bestFit="1" customWidth="1"/>
    <col min="20" max="26" width="12.625" style="252"/>
    <col min="27" max="16384" width="12.625" style="1245"/>
  </cols>
  <sheetData>
    <row r="1" spans="1:22" ht="21.75" customHeight="1" thickBot="1">
      <c r="A1" s="1771" t="s">
        <v>2050</v>
      </c>
      <c r="B1" s="1772"/>
      <c r="C1" s="1800" t="s">
        <v>2051</v>
      </c>
      <c r="D1" s="1801" t="s">
        <v>3077</v>
      </c>
      <c r="E1" s="1800" t="s">
        <v>2052</v>
      </c>
      <c r="F1" s="1802" t="s">
        <v>3076</v>
      </c>
      <c r="G1" s="309"/>
      <c r="H1" s="309"/>
      <c r="I1" s="309"/>
      <c r="J1" s="2023"/>
      <c r="K1" s="2023"/>
      <c r="L1" s="2023"/>
      <c r="M1" s="2023"/>
      <c r="N1" s="2023"/>
      <c r="O1" s="2023"/>
      <c r="P1" s="2023"/>
      <c r="Q1" s="2023"/>
      <c r="R1" s="2023"/>
      <c r="S1" s="2023"/>
      <c r="T1" s="2023"/>
      <c r="U1" s="2023"/>
      <c r="V1" s="2023"/>
    </row>
    <row r="2" spans="1:22" ht="21.75" customHeight="1" thickBot="1">
      <c r="A2" s="3415" t="str">
        <f>项目基本情况!K2</f>
        <v>天津市河东区六纬路西侧金茂天津河东一热电项目出让国有建设用地使用权</v>
      </c>
      <c r="B2" s="3416"/>
      <c r="C2" s="3417"/>
      <c r="D2" s="3417"/>
      <c r="E2" s="3417"/>
      <c r="F2" s="3417"/>
      <c r="G2" s="3416"/>
      <c r="H2" s="3416"/>
      <c r="I2" s="3418"/>
      <c r="J2" s="2024"/>
      <c r="K2" s="2023"/>
      <c r="L2" s="2023"/>
      <c r="M2" s="2023"/>
      <c r="N2" s="2023"/>
      <c r="O2" s="2023"/>
      <c r="P2" s="2023"/>
      <c r="Q2" s="2023"/>
      <c r="R2" s="2023"/>
      <c r="S2" s="2023"/>
      <c r="T2" s="2023"/>
      <c r="U2" s="2023"/>
      <c r="V2" s="2023"/>
    </row>
    <row r="3" spans="1:22" ht="14.25">
      <c r="A3" s="3426" t="s">
        <v>291</v>
      </c>
      <c r="B3" s="3427"/>
      <c r="C3" s="3427"/>
      <c r="D3" s="3427"/>
      <c r="E3" s="3427"/>
      <c r="F3" s="3427"/>
      <c r="G3" s="3427"/>
      <c r="H3" s="3427"/>
      <c r="I3" s="3427"/>
      <c r="J3" s="2024"/>
      <c r="K3" s="2023"/>
      <c r="L3" s="2023"/>
      <c r="M3" s="2023"/>
      <c r="N3" s="2023"/>
      <c r="O3" s="2023"/>
      <c r="P3" s="2023"/>
      <c r="Q3" s="2023"/>
      <c r="R3" s="2023"/>
      <c r="S3" s="2023"/>
      <c r="T3" s="2023"/>
      <c r="U3" s="2023"/>
      <c r="V3" s="2023"/>
    </row>
    <row r="4" spans="1:22" ht="14.25">
      <c r="A4" s="253" t="s">
        <v>292</v>
      </c>
      <c r="B4" s="254" t="s">
        <v>293</v>
      </c>
      <c r="C4" s="255" t="s">
        <v>3048</v>
      </c>
      <c r="D4" s="255" t="s">
        <v>3080</v>
      </c>
      <c r="E4" s="3390" t="s">
        <v>294</v>
      </c>
      <c r="F4" s="3432"/>
      <c r="G4" s="3432"/>
      <c r="H4" s="3432"/>
      <c r="I4" s="3391"/>
      <c r="J4" s="2024"/>
      <c r="K4" s="2023"/>
      <c r="L4" s="943" t="str">
        <f>IF(ISNUMBER(FIND("比较法",C4)),"比较法",IF(ISNUMBER(FIND("成本法",C4)),"成本法",IF(ISNUMBER(FIND("剩余法",C4)),"剩余法",IF(ISNUMBER(FIND("收益法",C4)),"收益法","基准地价系数修正法"))))</f>
        <v>比较法</v>
      </c>
      <c r="M4" s="943" t="str">
        <f>IF(ISNUMBER(FIND("比较法",D4)),"比较法",IF(ISNUMBER(FIND("成本法",D4)),"成本法",IF(ISNUMBER(FIND("剩余法",D4)),"剩余法",IF(ISNUMBER(FIND("收益法",D4)),"收益法","基准地价系数修正法"))))</f>
        <v>剩余法</v>
      </c>
      <c r="N4" s="2023"/>
      <c r="O4" s="2023"/>
      <c r="P4" s="2023"/>
      <c r="Q4" s="2023"/>
      <c r="R4" s="2023"/>
      <c r="S4" s="2023"/>
      <c r="T4" s="2023"/>
      <c r="U4" s="2023"/>
      <c r="V4" s="2023"/>
    </row>
    <row r="5" spans="1:22" ht="14.25">
      <c r="A5" s="3419" t="s">
        <v>295</v>
      </c>
      <c r="B5" s="3420">
        <v>25</v>
      </c>
      <c r="C5" s="3428"/>
      <c r="D5" s="3431"/>
      <c r="E5" s="256" t="s">
        <v>296</v>
      </c>
      <c r="F5" s="257"/>
      <c r="G5" s="257"/>
      <c r="H5" s="257"/>
      <c r="I5" s="258"/>
      <c r="J5" s="2024"/>
      <c r="K5" s="2023"/>
      <c r="L5" s="2023"/>
      <c r="M5" s="2023"/>
      <c r="N5" s="2023"/>
      <c r="O5" s="2023"/>
      <c r="P5" s="2023"/>
      <c r="Q5" s="2023"/>
      <c r="R5" s="2023"/>
      <c r="S5" s="2023"/>
      <c r="T5" s="2023"/>
      <c r="U5" s="2023"/>
      <c r="V5" s="2023"/>
    </row>
    <row r="6" spans="1:22" ht="14.25">
      <c r="A6" s="3419"/>
      <c r="B6" s="3420"/>
      <c r="C6" s="3429"/>
      <c r="D6" s="3431"/>
      <c r="E6" s="256" t="s">
        <v>297</v>
      </c>
      <c r="F6" s="257"/>
      <c r="G6" s="257"/>
      <c r="H6" s="257"/>
      <c r="I6" s="258"/>
      <c r="J6" s="2024"/>
      <c r="K6" s="2023"/>
      <c r="L6" s="2023"/>
      <c r="M6" s="2023"/>
      <c r="N6" s="2023"/>
      <c r="O6" s="2023"/>
      <c r="P6" s="2023"/>
      <c r="Q6" s="2023"/>
      <c r="R6" s="2023"/>
      <c r="S6" s="2023"/>
      <c r="T6" s="2023"/>
      <c r="U6" s="2023"/>
      <c r="V6" s="2023"/>
    </row>
    <row r="7" spans="1:22" ht="14.25">
      <c r="A7" s="3419"/>
      <c r="B7" s="3420"/>
      <c r="C7" s="3430"/>
      <c r="D7" s="3431"/>
      <c r="E7" s="256" t="s">
        <v>298</v>
      </c>
      <c r="F7" s="257"/>
      <c r="G7" s="257"/>
      <c r="H7" s="257"/>
      <c r="I7" s="258"/>
      <c r="J7" s="2024"/>
      <c r="K7" s="2023"/>
      <c r="L7" s="2023"/>
      <c r="M7" s="2023"/>
      <c r="N7" s="2023"/>
      <c r="O7" s="2023"/>
      <c r="P7" s="2023"/>
      <c r="Q7" s="2023"/>
      <c r="R7" s="2023"/>
      <c r="S7" s="2023"/>
      <c r="T7" s="2023"/>
      <c r="U7" s="2023"/>
      <c r="V7" s="2023"/>
    </row>
    <row r="8" spans="1:22" ht="14.25">
      <c r="A8" s="3419" t="s">
        <v>299</v>
      </c>
      <c r="B8" s="3420">
        <v>15</v>
      </c>
      <c r="C8" s="3428"/>
      <c r="D8" s="3431"/>
      <c r="E8" s="256" t="s">
        <v>300</v>
      </c>
      <c r="F8" s="257"/>
      <c r="G8" s="257"/>
      <c r="H8" s="257"/>
      <c r="I8" s="258"/>
      <c r="J8" s="2024"/>
      <c r="K8" s="2023"/>
      <c r="L8" s="2023"/>
      <c r="M8" s="2023"/>
      <c r="N8" s="2023"/>
      <c r="O8" s="2023"/>
      <c r="P8" s="2023"/>
      <c r="Q8" s="2023"/>
      <c r="R8" s="2023"/>
      <c r="S8" s="2023"/>
      <c r="T8" s="2023"/>
      <c r="U8" s="2023"/>
      <c r="V8" s="2023"/>
    </row>
    <row r="9" spans="1:22" ht="14.25">
      <c r="A9" s="3419"/>
      <c r="B9" s="3420"/>
      <c r="C9" s="3430"/>
      <c r="D9" s="3431"/>
      <c r="E9" s="256" t="s">
        <v>301</v>
      </c>
      <c r="F9" s="257"/>
      <c r="G9" s="257"/>
      <c r="H9" s="257"/>
      <c r="I9" s="258"/>
      <c r="J9" s="2024"/>
      <c r="K9" s="2023"/>
      <c r="L9" s="2023"/>
      <c r="M9" s="2023"/>
      <c r="N9" s="2023"/>
      <c r="O9" s="2023"/>
      <c r="P9" s="2023"/>
      <c r="Q9" s="2023"/>
      <c r="R9" s="2023"/>
      <c r="S9" s="2023"/>
      <c r="T9" s="2023"/>
      <c r="U9" s="2023"/>
      <c r="V9" s="2023"/>
    </row>
    <row r="10" spans="1:22" ht="14.25">
      <c r="A10" s="3419" t="s">
        <v>302</v>
      </c>
      <c r="B10" s="3420">
        <v>15</v>
      </c>
      <c r="C10" s="3428"/>
      <c r="D10" s="3431"/>
      <c r="E10" s="256" t="s">
        <v>303</v>
      </c>
      <c r="F10" s="257"/>
      <c r="G10" s="257"/>
      <c r="H10" s="257"/>
      <c r="I10" s="258"/>
      <c r="J10" s="2024"/>
      <c r="K10" s="2023"/>
      <c r="L10" s="2023"/>
      <c r="M10" s="2023"/>
      <c r="N10" s="2023"/>
      <c r="O10" s="2023"/>
      <c r="P10" s="2023"/>
      <c r="Q10" s="2023"/>
      <c r="R10" s="2023"/>
      <c r="S10" s="2023"/>
      <c r="T10" s="2023"/>
      <c r="U10" s="2023"/>
      <c r="V10" s="2023"/>
    </row>
    <row r="11" spans="1:22" ht="14.25">
      <c r="A11" s="3419"/>
      <c r="B11" s="3420"/>
      <c r="C11" s="3430"/>
      <c r="D11" s="3431"/>
      <c r="E11" s="256" t="s">
        <v>304</v>
      </c>
      <c r="F11" s="257"/>
      <c r="G11" s="257"/>
      <c r="H11" s="257"/>
      <c r="I11" s="258"/>
      <c r="J11" s="2024"/>
      <c r="K11" s="2023"/>
      <c r="L11" s="2023"/>
      <c r="M11" s="2023"/>
      <c r="N11" s="2023"/>
      <c r="O11" s="2023"/>
      <c r="P11" s="2023"/>
      <c r="Q11" s="2023"/>
      <c r="R11" s="2023"/>
      <c r="S11" s="2023"/>
      <c r="T11" s="2023"/>
      <c r="U11" s="2023"/>
      <c r="V11" s="2023"/>
    </row>
    <row r="12" spans="1:22" ht="14.25">
      <c r="A12" s="3419" t="s">
        <v>305</v>
      </c>
      <c r="B12" s="3420">
        <v>15</v>
      </c>
      <c r="C12" s="3428"/>
      <c r="D12" s="3431"/>
      <c r="E12" s="256" t="s">
        <v>306</v>
      </c>
      <c r="F12" s="257"/>
      <c r="G12" s="257"/>
      <c r="H12" s="257"/>
      <c r="I12" s="258"/>
      <c r="J12" s="2024"/>
      <c r="K12" s="2023"/>
      <c r="L12" s="2023"/>
      <c r="M12" s="2023"/>
      <c r="N12" s="2023"/>
      <c r="O12" s="2023"/>
      <c r="P12" s="2023"/>
      <c r="Q12" s="2023"/>
      <c r="R12" s="2023"/>
      <c r="S12" s="2023"/>
      <c r="T12" s="2023"/>
      <c r="U12" s="2023"/>
      <c r="V12" s="2023"/>
    </row>
    <row r="13" spans="1:22" ht="14.25">
      <c r="A13" s="3419"/>
      <c r="B13" s="3420"/>
      <c r="C13" s="3430"/>
      <c r="D13" s="3431"/>
      <c r="E13" s="256" t="s">
        <v>307</v>
      </c>
      <c r="F13" s="257"/>
      <c r="G13" s="257"/>
      <c r="H13" s="257"/>
      <c r="I13" s="258"/>
      <c r="J13" s="2024"/>
      <c r="K13" s="2023"/>
      <c r="L13" s="2023"/>
      <c r="M13" s="2023"/>
      <c r="N13" s="2023"/>
      <c r="O13" s="2023"/>
      <c r="P13" s="2023"/>
      <c r="Q13" s="2023"/>
      <c r="R13" s="2023"/>
      <c r="S13" s="2023"/>
      <c r="T13" s="2023"/>
      <c r="U13" s="2023"/>
      <c r="V13" s="2023"/>
    </row>
    <row r="14" spans="1:22" ht="14.25">
      <c r="A14" s="3419" t="s">
        <v>308</v>
      </c>
      <c r="B14" s="3420">
        <v>30</v>
      </c>
      <c r="C14" s="3428">
        <v>5</v>
      </c>
      <c r="D14" s="3431">
        <v>5</v>
      </c>
      <c r="E14" s="256" t="s">
        <v>309</v>
      </c>
      <c r="F14" s="257"/>
      <c r="G14" s="257"/>
      <c r="H14" s="257"/>
      <c r="I14" s="258"/>
      <c r="J14" s="2024"/>
      <c r="K14" s="2023"/>
      <c r="L14" s="2023"/>
      <c r="M14" s="2023"/>
      <c r="N14" s="2023"/>
      <c r="O14" s="2023"/>
      <c r="P14" s="2023"/>
      <c r="Q14" s="2023"/>
      <c r="R14" s="2023"/>
      <c r="S14" s="2023"/>
      <c r="T14" s="2023"/>
      <c r="U14" s="2023"/>
      <c r="V14" s="2023"/>
    </row>
    <row r="15" spans="1:22" ht="14.25">
      <c r="A15" s="3419"/>
      <c r="B15" s="3420"/>
      <c r="C15" s="3429"/>
      <c r="D15" s="3431"/>
      <c r="E15" s="256" t="s">
        <v>310</v>
      </c>
      <c r="F15" s="257"/>
      <c r="G15" s="257"/>
      <c r="H15" s="257"/>
      <c r="I15" s="258"/>
      <c r="J15" s="2024"/>
      <c r="K15" s="2023"/>
      <c r="L15" s="2023"/>
      <c r="M15" s="2023"/>
      <c r="N15" s="2023"/>
      <c r="O15" s="2023"/>
      <c r="P15" s="2023"/>
      <c r="Q15" s="2023"/>
      <c r="R15" s="2023"/>
      <c r="S15" s="2023"/>
      <c r="T15" s="2023"/>
      <c r="U15" s="2023"/>
      <c r="V15" s="2023"/>
    </row>
    <row r="16" spans="1:22" ht="14.25">
      <c r="A16" s="3419"/>
      <c r="B16" s="3420"/>
      <c r="C16" s="3430"/>
      <c r="D16" s="3431"/>
      <c r="E16" s="256" t="s">
        <v>311</v>
      </c>
      <c r="F16" s="257"/>
      <c r="G16" s="257"/>
      <c r="H16" s="257"/>
      <c r="I16" s="258"/>
      <c r="J16" s="2024"/>
      <c r="K16" s="2023"/>
      <c r="L16" s="2023"/>
      <c r="M16" s="2023"/>
      <c r="N16" s="2023"/>
      <c r="O16" s="2023"/>
      <c r="P16" s="2023"/>
      <c r="Q16" s="2023"/>
      <c r="R16" s="2023"/>
      <c r="S16" s="2023"/>
      <c r="T16" s="2023"/>
      <c r="U16" s="2023"/>
      <c r="V16" s="2023"/>
    </row>
    <row r="17" spans="1:26" ht="15">
      <c r="A17" s="259" t="s">
        <v>312</v>
      </c>
      <c r="B17" s="143"/>
      <c r="C17" s="260">
        <f>SUM(C5:C16)</f>
        <v>5</v>
      </c>
      <c r="D17" s="260">
        <f>SUM(D5:D16)</f>
        <v>5</v>
      </c>
      <c r="E17" s="309"/>
      <c r="F17" s="309"/>
      <c r="G17" s="309"/>
      <c r="H17" s="309"/>
      <c r="I17" s="309"/>
      <c r="J17" s="2024"/>
      <c r="K17" s="2023"/>
      <c r="L17" s="2023"/>
      <c r="M17" s="2023"/>
      <c r="N17" s="2023"/>
      <c r="O17" s="2023"/>
      <c r="P17" s="2023"/>
      <c r="Q17" s="2023"/>
      <c r="R17" s="2023"/>
      <c r="S17" s="2023"/>
      <c r="T17" s="2023"/>
      <c r="U17" s="2023"/>
      <c r="V17" s="2023"/>
    </row>
    <row r="18" spans="1:26" ht="15.75" thickBot="1">
      <c r="A18" s="261" t="s">
        <v>313</v>
      </c>
      <c r="B18" s="105"/>
      <c r="C18" s="262">
        <f>ROUND(C17/SUM(C17:D17),2)</f>
        <v>0.5</v>
      </c>
      <c r="D18" s="262">
        <f>1-C18</f>
        <v>0.5</v>
      </c>
      <c r="E18" s="309"/>
      <c r="F18" s="309"/>
      <c r="G18" s="309"/>
      <c r="H18" s="309"/>
      <c r="I18" s="309"/>
      <c r="J18" s="2023"/>
      <c r="K18" s="2023"/>
      <c r="L18" s="2023"/>
      <c r="M18" s="2023"/>
      <c r="N18" s="2023"/>
      <c r="O18" s="2023"/>
      <c r="P18" s="2023"/>
      <c r="Q18" s="2023"/>
      <c r="R18" s="2023"/>
      <c r="S18" s="2023"/>
      <c r="T18" s="2023"/>
      <c r="U18" s="2023"/>
      <c r="V18" s="2023"/>
    </row>
    <row r="19" spans="1:26" ht="15">
      <c r="A19" s="263" t="s">
        <v>314</v>
      </c>
      <c r="B19" s="264" t="s">
        <v>315</v>
      </c>
      <c r="C19" s="265">
        <f ca="1">SUMIF(INDIRECT("'"&amp;C4&amp;"'"&amp;"!A:A"),结果表!B19,INDIRECT("'"&amp;C4&amp;"'"&amp;"!B:B"))</f>
        <v>578479</v>
      </c>
      <c r="D19" s="266">
        <f ca="1">SUMIF(INDIRECT("'"&amp;D4&amp;"'"&amp;"!A:A"),结果表!B19,INDIRECT("'"&amp;D4&amp;"'"&amp;"!B:B"))</f>
        <v>585017</v>
      </c>
      <c r="E19" s="263" t="s">
        <v>316</v>
      </c>
      <c r="F19" s="264" t="s">
        <v>315</v>
      </c>
      <c r="G19" s="267">
        <f ca="1">ROUND(C19*$C$18+D19*$D$18,0)</f>
        <v>581748</v>
      </c>
      <c r="H19" s="268" t="s">
        <v>317</v>
      </c>
      <c r="I19" s="309"/>
      <c r="J19" s="2023"/>
      <c r="K19" s="2023"/>
      <c r="L19" s="2023"/>
      <c r="M19" s="2023"/>
      <c r="N19" s="2023"/>
      <c r="O19" s="2023"/>
      <c r="P19" s="2023"/>
      <c r="Q19" s="2023"/>
      <c r="R19" s="2023"/>
      <c r="S19" s="2023"/>
      <c r="T19" s="2023"/>
      <c r="U19" s="2023"/>
      <c r="V19" s="2023"/>
    </row>
    <row r="20" spans="1:26" ht="15">
      <c r="A20" s="269"/>
      <c r="B20" s="270" t="s">
        <v>318</v>
      </c>
      <c r="C20" s="271">
        <f ca="1">SUMIF(INDIRECT("'"&amp;C4&amp;"'"&amp;"!A:A"),结果表!B20,INDIRECT("'"&amp;C4&amp;"'"&amp;"!B:B"))</f>
        <v>14015</v>
      </c>
      <c r="D20" s="272">
        <f ca="1">SUMIF(INDIRECT("'"&amp;D4&amp;"'"&amp;"!A:A"),结果表!B20,INDIRECT("'"&amp;D4&amp;"'"&amp;"!B:B"))</f>
        <v>14173</v>
      </c>
      <c r="E20" s="269"/>
      <c r="F20" s="270" t="s">
        <v>318</v>
      </c>
      <c r="G20" s="273">
        <f ca="1">ROUND(C20*$C$18+D20*$D$18,0)</f>
        <v>14094</v>
      </c>
      <c r="H20" s="274" t="s">
        <v>319</v>
      </c>
      <c r="I20" s="309"/>
      <c r="J20" s="2023"/>
      <c r="K20" s="2023"/>
      <c r="L20" s="2023"/>
      <c r="M20" s="2023"/>
      <c r="N20" s="2023"/>
      <c r="O20" s="2023"/>
      <c r="P20" s="2023"/>
      <c r="Q20" s="2023"/>
      <c r="R20" s="2023"/>
      <c r="S20" s="2023"/>
      <c r="T20" s="2023"/>
      <c r="U20" s="2023"/>
      <c r="V20" s="2023"/>
    </row>
    <row r="21" spans="1:26" ht="15" customHeight="1">
      <c r="A21" s="269"/>
      <c r="B21" s="275" t="s">
        <v>320</v>
      </c>
      <c r="C21" s="276">
        <f ca="1">SUMIF(INDIRECT("'"&amp;C4&amp;"'"&amp;"!A:A"),结果表!B21,INDIRECT("'"&amp;C4&amp;"'"&amp;"!B:B"))</f>
        <v>47684</v>
      </c>
      <c r="D21" s="150">
        <f ca="1">SUMIF(INDIRECT("'"&amp;D4&amp;"'"&amp;"!A:A"),结果表!B21,INDIRECT("'"&amp;D4&amp;"'"&amp;"!B:B"))</f>
        <v>48223</v>
      </c>
      <c r="E21" s="269"/>
      <c r="F21" s="275" t="s">
        <v>320</v>
      </c>
      <c r="G21" s="277">
        <f ca="1">ROUND(C21*$C$18+D21*$D$18,0)</f>
        <v>47954</v>
      </c>
      <c r="H21" s="1246" t="s">
        <v>319</v>
      </c>
      <c r="I21" s="309"/>
      <c r="J21" s="2023"/>
      <c r="K21" s="2023"/>
      <c r="L21" s="2023"/>
      <c r="M21" s="2023"/>
      <c r="N21" s="2023"/>
      <c r="O21" s="2023"/>
      <c r="P21" s="2023"/>
      <c r="Q21" s="2023"/>
      <c r="R21" s="2023"/>
      <c r="S21" s="2023"/>
      <c r="T21" s="2023"/>
      <c r="U21" s="2023"/>
      <c r="V21" s="2023"/>
    </row>
    <row r="22" spans="1:26" ht="15.75" thickBot="1">
      <c r="A22" s="126" t="s">
        <v>321</v>
      </c>
      <c r="B22" s="1247"/>
      <c r="C22" s="1248"/>
      <c r="D22" s="278">
        <f ca="1">IF(C19&lt;D19,D19/C19-1,C19/D19-1)</f>
        <v>1.1302052451342304E-2</v>
      </c>
      <c r="E22" s="279"/>
      <c r="F22" s="280"/>
      <c r="G22" s="281">
        <f ca="1">ROUND(G19/('数据-汇总表'!D3/666.67),0)</f>
        <v>3197</v>
      </c>
      <c r="H22" s="282" t="s">
        <v>322</v>
      </c>
      <c r="I22" s="309"/>
      <c r="J22" s="2023"/>
      <c r="K22" s="2023"/>
      <c r="L22" s="2023"/>
      <c r="M22" s="2023"/>
      <c r="N22" s="2023"/>
      <c r="O22" s="2023"/>
      <c r="P22" s="2023"/>
      <c r="Q22" s="2023"/>
      <c r="R22" s="2023"/>
      <c r="S22" s="2023"/>
      <c r="T22" s="2023"/>
      <c r="U22" s="2023"/>
      <c r="V22" s="2023"/>
    </row>
    <row r="23" spans="1:26" ht="13.5" thickBot="1">
      <c r="A23" s="309"/>
      <c r="B23" s="309"/>
      <c r="C23" s="309"/>
      <c r="D23" s="309"/>
      <c r="E23" s="309"/>
      <c r="F23" s="309"/>
      <c r="G23" s="309"/>
      <c r="H23" s="309"/>
      <c r="I23" s="309"/>
      <c r="J23" s="2023"/>
      <c r="K23" s="2023"/>
      <c r="L23" s="2023"/>
      <c r="M23" s="2023"/>
      <c r="N23" s="2023"/>
      <c r="O23" s="2023"/>
      <c r="P23" s="2023"/>
      <c r="Q23" s="2023"/>
      <c r="R23" s="2023"/>
      <c r="S23" s="2023"/>
      <c r="T23" s="2023"/>
      <c r="U23" s="2023"/>
      <c r="V23" s="2023"/>
    </row>
    <row r="24" spans="1:26" ht="15" thickBot="1">
      <c r="A24" s="3392" t="s">
        <v>323</v>
      </c>
      <c r="B24" s="264" t="s">
        <v>315</v>
      </c>
      <c r="C24" s="283">
        <f>IF(B30=0,0,D30)</f>
        <v>0</v>
      </c>
      <c r="D24" s="284"/>
      <c r="E24" s="309"/>
      <c r="F24" s="309"/>
      <c r="G24" s="309"/>
      <c r="H24" s="309"/>
      <c r="I24" s="309"/>
      <c r="J24" s="2023"/>
      <c r="K24" s="2023"/>
      <c r="L24" s="2023"/>
      <c r="M24" s="2023"/>
      <c r="N24" s="2023"/>
      <c r="O24" s="2023"/>
      <c r="P24" s="2023"/>
      <c r="Q24" s="2023"/>
      <c r="R24" s="2023"/>
      <c r="S24" s="2023"/>
      <c r="T24" s="2023"/>
      <c r="U24" s="2023"/>
      <c r="V24" s="2023"/>
    </row>
    <row r="25" spans="1:26" ht="18">
      <c r="A25" s="3434"/>
      <c r="B25" s="1316" t="s">
        <v>324</v>
      </c>
      <c r="C25" s="285">
        <f>IF(B30=0,0,C30)</f>
        <v>0</v>
      </c>
      <c r="D25" s="286"/>
      <c r="E25" s="309"/>
      <c r="F25" s="309"/>
      <c r="G25" s="309"/>
      <c r="H25" s="309"/>
      <c r="I25" s="309"/>
      <c r="J25" s="2023"/>
      <c r="K25" s="1250" t="str">
        <f ca="1">项目基本情况!B16&amp;"国有建设用地使用权价格："&amp;O38&amp;"万元"</f>
        <v>出让国有建设用地使用权价格：581748万元</v>
      </c>
      <c r="L25" s="1251"/>
      <c r="M25" s="1251"/>
      <c r="N25" s="1251"/>
      <c r="O25" s="1252"/>
      <c r="P25" s="2023"/>
      <c r="Q25" s="2023"/>
      <c r="R25" s="2023"/>
      <c r="S25" s="2023"/>
      <c r="T25" s="2023"/>
      <c r="U25" s="2023"/>
      <c r="V25" s="2023"/>
    </row>
    <row r="26" spans="1:26" s="1249" customFormat="1" ht="18">
      <c r="A26" s="288" t="s">
        <v>325</v>
      </c>
      <c r="B26" s="289" t="s">
        <v>326</v>
      </c>
      <c r="C26" s="289" t="s">
        <v>327</v>
      </c>
      <c r="D26" s="290" t="s">
        <v>328</v>
      </c>
      <c r="E26" s="309"/>
      <c r="F26" s="309"/>
      <c r="G26" s="309"/>
      <c r="H26" s="309"/>
      <c r="I26" s="309"/>
      <c r="J26" s="2023"/>
      <c r="K26" s="1253" t="str">
        <f ca="1">"大写金额：人民币"&amp;NUMBERSTRING(INT(O38*10000),2)&amp;"元整"</f>
        <v>大写金额：人民币伍拾捌亿壹仟柒佰肆拾捌万元整</v>
      </c>
      <c r="L26" s="1247"/>
      <c r="M26" s="1247"/>
      <c r="N26" s="1247"/>
      <c r="O26" s="1246"/>
      <c r="P26" s="2023"/>
      <c r="Q26" s="2023"/>
      <c r="R26" s="2023"/>
      <c r="S26" s="2023"/>
      <c r="T26" s="2023"/>
      <c r="U26" s="2023"/>
      <c r="V26" s="2023"/>
      <c r="W26" s="287"/>
      <c r="X26" s="287"/>
      <c r="Y26" s="287"/>
      <c r="Z26" s="287"/>
    </row>
    <row r="27" spans="1:26" ht="18">
      <c r="A27" s="288"/>
      <c r="B27" s="289"/>
      <c r="C27" s="289"/>
      <c r="D27" s="290"/>
      <c r="E27" s="309"/>
      <c r="F27" s="309"/>
      <c r="G27" s="309"/>
      <c r="H27" s="309"/>
      <c r="I27" s="309"/>
      <c r="J27" s="2023"/>
      <c r="K27" s="1253" t="str">
        <f ca="1">"单位面积地价："&amp;M38&amp;"元/平方米"</f>
        <v>单位面积地价：47953元/平方米</v>
      </c>
      <c r="L27" s="1247"/>
      <c r="M27" s="1247"/>
      <c r="N27" s="1247"/>
      <c r="O27" s="1246"/>
      <c r="P27" s="2023"/>
      <c r="Q27" s="2023"/>
      <c r="R27" s="2023"/>
      <c r="S27" s="2023"/>
      <c r="T27" s="2023"/>
      <c r="U27" s="2023"/>
      <c r="V27" s="2023"/>
    </row>
    <row r="28" spans="1:26" ht="18.75" customHeight="1">
      <c r="A28" s="288"/>
      <c r="B28" s="289"/>
      <c r="C28" s="289"/>
      <c r="D28" s="290"/>
      <c r="E28" s="309"/>
      <c r="F28" s="309"/>
      <c r="G28" s="309"/>
      <c r="H28" s="309"/>
      <c r="I28" s="309"/>
      <c r="J28" s="2023"/>
      <c r="K28" s="1253" t="str">
        <f ca="1">"楼面地价："&amp;N38&amp;"元/平方米"</f>
        <v>楼面地价：14094元/平方米</v>
      </c>
      <c r="L28" s="1247"/>
      <c r="M28" s="1247"/>
      <c r="N28" s="1247"/>
      <c r="O28" s="1246"/>
      <c r="P28" s="2023"/>
      <c r="V28" s="2023"/>
    </row>
    <row r="29" spans="1:26" ht="18">
      <c r="A29" s="288"/>
      <c r="B29" s="289"/>
      <c r="C29" s="289"/>
      <c r="D29" s="290"/>
      <c r="E29" s="309"/>
      <c r="F29" s="309"/>
      <c r="G29" s="309"/>
      <c r="H29" s="309"/>
      <c r="I29" s="309"/>
      <c r="J29" s="2023"/>
      <c r="K29" s="1253" t="str">
        <f ca="1">IF(OR(项目基本情况!E8="抵押价格",项目基本情况!E8="已注销及未注销"),"抵押价格："&amp;O39&amp;"万元","——")</f>
        <v>抵押价格：581748万元</v>
      </c>
      <c r="L29" s="1247"/>
      <c r="M29" s="1247"/>
      <c r="N29" s="1247"/>
      <c r="O29" s="1246"/>
      <c r="P29" s="2023"/>
      <c r="V29" s="2023"/>
    </row>
    <row r="30" spans="1:26" ht="18.75" thickBot="1">
      <c r="A30" s="291" t="s">
        <v>329</v>
      </c>
      <c r="B30" s="292">
        <f>SUM(B27:B29)</f>
        <v>0</v>
      </c>
      <c r="C30" s="292" t="e">
        <f>ROUND(D30*10000/B30,0)</f>
        <v>#DIV/0!</v>
      </c>
      <c r="D30" s="293">
        <f>SUM(D27:D29)</f>
        <v>0</v>
      </c>
      <c r="E30" s="309"/>
      <c r="F30" s="309"/>
      <c r="G30" s="309"/>
      <c r="H30" s="309"/>
      <c r="I30" s="309"/>
      <c r="J30" s="2023"/>
      <c r="K30" s="1253" t="str">
        <f ca="1">IF(K29="——","——","大写金额：人民币"&amp;NUMBERSTRING(INT(O39*10000),2)&amp;"元整")</f>
        <v>大写金额：人民币伍拾捌亿壹仟柒佰肆拾捌万元整</v>
      </c>
      <c r="L30" s="1247"/>
      <c r="M30" s="1247"/>
      <c r="N30" s="1247"/>
      <c r="O30" s="1246"/>
      <c r="P30" s="2023"/>
      <c r="V30" s="2023"/>
    </row>
    <row r="31" spans="1:26" ht="24" customHeight="1" thickBot="1">
      <c r="A31" s="309"/>
      <c r="B31" s="309"/>
      <c r="C31" s="309"/>
      <c r="D31" s="309"/>
      <c r="E31" s="309"/>
      <c r="F31" s="309"/>
      <c r="G31" s="309"/>
      <c r="H31" s="309"/>
      <c r="I31" s="309"/>
      <c r="J31" s="2023"/>
      <c r="K31" s="2487" t="str">
        <f>IF(项目基本情况!E8="抵押价格","——","抵押担保权已注销时的抵押价格："&amp;O40&amp;"万元")</f>
        <v>——</v>
      </c>
      <c r="L31" s="2483"/>
      <c r="M31" s="2483"/>
      <c r="N31" s="2483"/>
      <c r="O31" s="2484"/>
      <c r="P31" s="2023"/>
      <c r="V31" s="2023"/>
    </row>
    <row r="32" spans="1:26" ht="18.75" thickBot="1">
      <c r="A32" s="263" t="s">
        <v>330</v>
      </c>
      <c r="B32" s="1376" t="s">
        <v>1682</v>
      </c>
      <c r="C32" s="1377">
        <f ca="1">G19-C24</f>
        <v>581748</v>
      </c>
      <c r="D32" s="1378" t="s">
        <v>1683</v>
      </c>
      <c r="E32" s="309"/>
      <c r="F32" s="309"/>
      <c r="G32" s="309"/>
      <c r="H32" s="309"/>
      <c r="I32" s="309"/>
      <c r="J32" s="2023"/>
      <c r="K32" s="2482" t="str">
        <f>IF(K31="——","——","大写金额：人民币"&amp;NUMBERSTRING(INT(O40*10000),2)&amp;"元整")</f>
        <v>——</v>
      </c>
      <c r="L32" s="2485"/>
      <c r="M32" s="2485"/>
      <c r="N32" s="2485"/>
      <c r="O32" s="2486"/>
      <c r="P32" s="2023"/>
      <c r="V32" s="2023"/>
    </row>
    <row r="33" spans="1:26" ht="18.75" thickBot="1">
      <c r="A33" s="296" t="s">
        <v>333</v>
      </c>
      <c r="B33" s="1379" t="s">
        <v>1684</v>
      </c>
      <c r="C33" s="259">
        <f ca="1">ROUND(C32*10000/'数据-汇总表'!E3,0)</f>
        <v>14094</v>
      </c>
      <c r="D33" s="1380" t="s">
        <v>1685</v>
      </c>
      <c r="E33" s="3392" t="s">
        <v>331</v>
      </c>
      <c r="F33" s="294" t="s">
        <v>332</v>
      </c>
      <c r="G33" s="295"/>
      <c r="H33" s="975"/>
      <c r="I33" s="1254"/>
      <c r="J33" s="2023"/>
      <c r="K33" s="1253" t="str">
        <f>IF(项目基本情况!E9="——","——","抵押净值："&amp;C46&amp;"万元")</f>
        <v>抵押净值：——万元</v>
      </c>
      <c r="L33" s="1247"/>
      <c r="M33" s="1247"/>
      <c r="N33" s="1247"/>
      <c r="O33" s="1246"/>
      <c r="P33" s="2023"/>
      <c r="V33" s="2023"/>
    </row>
    <row r="34" spans="1:26" s="1249" customFormat="1" ht="18.75" thickBot="1">
      <c r="A34" s="298"/>
      <c r="B34" s="1381" t="s">
        <v>1686</v>
      </c>
      <c r="C34" s="259">
        <f ca="1">ROUND(C32*10000/'数据-汇总表'!D3,0)</f>
        <v>47953</v>
      </c>
      <c r="D34" s="1382" t="s">
        <v>1685</v>
      </c>
      <c r="E34" s="3393"/>
      <c r="F34" s="127" t="s">
        <v>334</v>
      </c>
      <c r="G34" s="297"/>
      <c r="H34" s="105"/>
      <c r="I34" s="309"/>
      <c r="J34" s="2023"/>
      <c r="K34" s="1256" t="e">
        <f>IF(K33="——","——","大写金额：人民币"&amp;NUMBERSTRING(INT(O41*10000),2)&amp;"元整")</f>
        <v>#VALUE!</v>
      </c>
      <c r="L34" s="1257"/>
      <c r="M34" s="1257"/>
      <c r="N34" s="1257"/>
      <c r="O34" s="1258"/>
      <c r="P34" s="2023"/>
      <c r="Q34" s="287"/>
      <c r="R34" s="287"/>
      <c r="S34" s="287"/>
      <c r="T34" s="287"/>
      <c r="U34" s="287"/>
      <c r="V34" s="2023"/>
      <c r="W34" s="287"/>
      <c r="X34" s="287"/>
      <c r="Y34" s="287"/>
      <c r="Z34" s="287"/>
    </row>
    <row r="35" spans="1:26" ht="15.75" thickBot="1">
      <c r="A35" s="279"/>
      <c r="B35" s="1383"/>
      <c r="C35" s="1384">
        <f ca="1">ROUND(C32/('数据-汇总表'!D3/666.67),0)</f>
        <v>3197</v>
      </c>
      <c r="D35" s="1385" t="s">
        <v>1687</v>
      </c>
      <c r="E35" s="3394"/>
      <c r="F35" s="299" t="s">
        <v>335</v>
      </c>
      <c r="G35" s="977"/>
      <c r="H35" s="976" t="s">
        <v>336</v>
      </c>
      <c r="I35" s="309"/>
      <c r="J35" s="2023"/>
      <c r="K35" s="3398" t="s">
        <v>343</v>
      </c>
      <c r="L35" s="3398" t="s">
        <v>344</v>
      </c>
      <c r="M35" s="1259" t="s">
        <v>345</v>
      </c>
      <c r="N35" s="3398" t="s">
        <v>346</v>
      </c>
      <c r="O35" s="3398" t="s">
        <v>347</v>
      </c>
      <c r="P35" s="2023"/>
      <c r="V35" s="2023"/>
    </row>
    <row r="36" spans="1:26" ht="16.5" customHeight="1">
      <c r="A36" s="301" t="s">
        <v>337</v>
      </c>
      <c r="B36" s="302" t="s">
        <v>326</v>
      </c>
      <c r="C36" s="303" t="s">
        <v>338</v>
      </c>
      <c r="D36" s="303" t="s">
        <v>339</v>
      </c>
      <c r="E36" s="304" t="s">
        <v>340</v>
      </c>
      <c r="F36" s="309"/>
      <c r="G36" s="309"/>
      <c r="H36" s="309"/>
      <c r="I36" s="309"/>
      <c r="J36" s="2025"/>
      <c r="K36" s="3399"/>
      <c r="L36" s="3399"/>
      <c r="M36" s="1261" t="s">
        <v>348</v>
      </c>
      <c r="N36" s="3399"/>
      <c r="O36" s="3399"/>
      <c r="P36" s="2023"/>
      <c r="V36" s="2023"/>
    </row>
    <row r="37" spans="1:26" ht="16.5" customHeight="1" thickBot="1">
      <c r="A37" s="1255" t="s">
        <v>341</v>
      </c>
      <c r="B37" s="305"/>
      <c r="C37" s="289"/>
      <c r="D37" s="289"/>
      <c r="E37" s="290"/>
      <c r="F37" s="309"/>
      <c r="G37" s="309"/>
      <c r="H37" s="309"/>
      <c r="I37" s="309"/>
      <c r="J37" s="2025"/>
      <c r="K37" s="3400"/>
      <c r="L37" s="3400"/>
      <c r="M37" s="1262"/>
      <c r="N37" s="3400"/>
      <c r="O37" s="3400"/>
      <c r="P37" s="2023"/>
      <c r="V37" s="2023"/>
    </row>
    <row r="38" spans="1:26" ht="16.5" hidden="1" customHeight="1" thickBot="1">
      <c r="A38" s="1255" t="s">
        <v>342</v>
      </c>
      <c r="B38" s="305"/>
      <c r="C38" s="289"/>
      <c r="D38" s="289"/>
      <c r="E38" s="290"/>
      <c r="F38" s="309"/>
      <c r="G38" s="309"/>
      <c r="H38" s="309"/>
      <c r="I38" s="309"/>
      <c r="J38" s="2025"/>
      <c r="K38" s="1263">
        <f>'数据-汇总表'!D3</f>
        <v>121315.1</v>
      </c>
      <c r="L38" s="1264">
        <f>'数据-汇总表'!E3</f>
        <v>412759.99</v>
      </c>
      <c r="M38" s="1264">
        <f ca="1">C34</f>
        <v>47953</v>
      </c>
      <c r="N38" s="1264">
        <f ca="1">C33</f>
        <v>14094</v>
      </c>
      <c r="O38" s="1265">
        <f ca="1">C32</f>
        <v>581748</v>
      </c>
      <c r="P38" s="2023"/>
      <c r="V38" s="2023"/>
    </row>
    <row r="39" spans="1:26" ht="16.5" hidden="1" customHeight="1" thickBot="1">
      <c r="A39" s="1260"/>
      <c r="B39" s="306"/>
      <c r="C39" s="307"/>
      <c r="D39" s="307"/>
      <c r="E39" s="308"/>
      <c r="F39" s="309"/>
      <c r="G39" s="309"/>
      <c r="H39" s="309"/>
      <c r="I39" s="309"/>
      <c r="J39" s="2025"/>
      <c r="K39" s="3375" t="str">
        <f>MID(A44,3,LEN(A44)-2)</f>
        <v>抵押价格</v>
      </c>
      <c r="L39" s="3376"/>
      <c r="M39" s="3376"/>
      <c r="N39" s="3377"/>
      <c r="O39" s="1387">
        <f ca="1">C44</f>
        <v>581748</v>
      </c>
      <c r="P39" s="2023"/>
      <c r="V39" s="2023"/>
    </row>
    <row r="40" spans="1:26" ht="19.5" thickBot="1">
      <c r="A40" s="104" t="s">
        <v>866</v>
      </c>
      <c r="B40" s="309"/>
      <c r="C40" s="309"/>
      <c r="D40" s="309"/>
      <c r="E40" s="309"/>
      <c r="F40" s="309"/>
      <c r="G40" s="309"/>
      <c r="H40" s="309"/>
      <c r="I40" s="309"/>
      <c r="J40" s="2025"/>
      <c r="K40" s="3375" t="str">
        <f t="shared" ref="K40:K41" si="0">MID(A45,3,LEN(A45)-2)</f>
        <v/>
      </c>
      <c r="L40" s="3376"/>
      <c r="M40" s="3376"/>
      <c r="N40" s="3377"/>
      <c r="O40" s="1387" t="str">
        <f>C45</f>
        <v>——</v>
      </c>
      <c r="P40" s="2023"/>
      <c r="V40" s="2023"/>
    </row>
    <row r="41" spans="1:26" ht="16.5" thickBot="1">
      <c r="A41" s="310" t="s">
        <v>349</v>
      </c>
      <c r="B41" s="311"/>
      <c r="C41" s="312" t="s">
        <v>350</v>
      </c>
      <c r="D41" s="313" t="s">
        <v>351</v>
      </c>
      <c r="E41" s="313" t="s">
        <v>352</v>
      </c>
      <c r="F41" s="314" t="s">
        <v>353</v>
      </c>
      <c r="G41" s="309"/>
      <c r="H41" s="309"/>
      <c r="I41" s="309"/>
      <c r="J41" s="2025"/>
      <c r="K41" s="3375" t="str">
        <f t="shared" si="0"/>
        <v/>
      </c>
      <c r="L41" s="3376"/>
      <c r="M41" s="3376"/>
      <c r="N41" s="3377"/>
      <c r="O41" s="1387" t="str">
        <f>C46</f>
        <v>——</v>
      </c>
      <c r="P41" s="2023"/>
      <c r="V41" s="2023"/>
    </row>
    <row r="42" spans="1:26" ht="29.25">
      <c r="A42" s="3435" t="s">
        <v>2062</v>
      </c>
      <c r="B42" s="3436"/>
      <c r="C42" s="259">
        <f ca="1">C32</f>
        <v>581748</v>
      </c>
      <c r="D42" s="315">
        <f ca="1">C33</f>
        <v>14094</v>
      </c>
      <c r="E42" s="315">
        <f ca="1">C34</f>
        <v>47953</v>
      </c>
      <c r="F42" s="316">
        <f ca="1">C35</f>
        <v>3197</v>
      </c>
      <c r="G42" s="309"/>
      <c r="H42" s="309"/>
      <c r="I42" s="317"/>
      <c r="J42" s="2025"/>
      <c r="K42" s="1266" t="s">
        <v>354</v>
      </c>
      <c r="L42" s="2042" t="s">
        <v>355</v>
      </c>
      <c r="M42" s="1267" t="s">
        <v>356</v>
      </c>
      <c r="N42" s="2043" t="s">
        <v>357</v>
      </c>
      <c r="O42" s="2044" t="s">
        <v>358</v>
      </c>
      <c r="P42" s="2023"/>
      <c r="V42" s="2023"/>
    </row>
    <row r="43" spans="1:26" ht="30">
      <c r="A43" s="3445" t="s">
        <v>2729</v>
      </c>
      <c r="B43" s="3446"/>
      <c r="C43" s="259">
        <f>IF(H33="正常操作",G33+G34+G35,G34+G35)</f>
        <v>0</v>
      </c>
      <c r="D43" s="315" t="s">
        <v>43</v>
      </c>
      <c r="E43" s="315" t="s">
        <v>44</v>
      </c>
      <c r="F43" s="316" t="s">
        <v>44</v>
      </c>
      <c r="G43" s="2887" t="s">
        <v>945</v>
      </c>
      <c r="H43" s="309"/>
      <c r="I43" s="317"/>
      <c r="J43" s="2025"/>
      <c r="K43" s="1268" t="str">
        <f>C4</f>
        <v>比较法-住宅、综合</v>
      </c>
      <c r="L43" s="1269">
        <f ca="1">IF(L42="估价结果/万元",C19,C20)</f>
        <v>578479</v>
      </c>
      <c r="M43" s="1270">
        <f>C18</f>
        <v>0.5</v>
      </c>
      <c r="N43" s="1271">
        <f ca="1">IF(N42="测算结果/万元",G19,G20)</f>
        <v>581748</v>
      </c>
      <c r="O43" s="1272">
        <f ca="1">IF(O42="最终结果/万元",C32,C33)</f>
        <v>581748</v>
      </c>
      <c r="P43" s="2023"/>
      <c r="V43" s="2023"/>
    </row>
    <row r="44" spans="1:26" ht="30.75" thickBot="1">
      <c r="A44" s="3435" t="str">
        <f>IF(OR(项目基本情况!E8="抵押价格",项目基本情况!E8="已注销及未注销"),"3.抵押价格","——")</f>
        <v>3.抵押价格</v>
      </c>
      <c r="B44" s="3436"/>
      <c r="C44" s="259">
        <f ca="1">IF(A44="——","——",C42-C43)</f>
        <v>581748</v>
      </c>
      <c r="D44" s="315">
        <f ca="1">ROUND(C44*10000/'数据-汇总表'!E3,0)</f>
        <v>14094</v>
      </c>
      <c r="E44" s="315">
        <f ca="1">ROUND(C44*10000/'数据-汇总表'!D3,0)</f>
        <v>47953</v>
      </c>
      <c r="F44" s="316">
        <f ca="1">ROUND(C44/('数据-汇总表'!D3/666.67),0)</f>
        <v>3197</v>
      </c>
      <c r="G44" s="309"/>
      <c r="H44" s="309"/>
      <c r="I44" s="317"/>
      <c r="J44" s="2025"/>
      <c r="K44" s="1273" t="str">
        <f>D4</f>
        <v>剩余法-待开发</v>
      </c>
      <c r="L44" s="1274">
        <f ca="1">IF(L42="估价结果/万元",D19,D20)</f>
        <v>585017</v>
      </c>
      <c r="M44" s="1275">
        <f>D18</f>
        <v>0.5</v>
      </c>
      <c r="N44" s="1276"/>
      <c r="O44" s="1277"/>
      <c r="P44" s="2023"/>
      <c r="V44" s="2023"/>
    </row>
    <row r="45" spans="1:26" ht="15">
      <c r="A45" s="3440" t="str">
        <f>IF(项目基本情况!E8="已注销及未注销","4.抵押担保权已注销时的抵押价格",IF(项目基本情况!E8="已注销","3.抵押担保权已注销时的抵押价格","——"))</f>
        <v>——</v>
      </c>
      <c r="B45" s="3441"/>
      <c r="C45" s="1799"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25"/>
      <c r="K45" s="2023"/>
      <c r="L45" s="2023"/>
      <c r="M45" s="2023"/>
      <c r="N45" s="2023"/>
      <c r="O45" s="2023"/>
      <c r="P45" s="2023"/>
      <c r="V45" s="2023"/>
    </row>
    <row r="46" spans="1:26" ht="15.75" thickBot="1">
      <c r="A46" s="3437" t="str">
        <f>IF(项目基本情况!E9="抵押净值",IF(A45="——","4.抵押净值","5.抵押净值"),"——")</f>
        <v>——</v>
      </c>
      <c r="B46" s="3438"/>
      <c r="C46" s="318" t="str">
        <f>IF(A46="——","——",O79)</f>
        <v>——</v>
      </c>
      <c r="D46" s="315" t="e">
        <f>ROUND(C46*10000/'数据-汇总表'!E3,0)</f>
        <v>#VALUE!</v>
      </c>
      <c r="E46" s="315" t="e">
        <f>ROUND(C46*10000/'数据-汇总表'!D3,0)</f>
        <v>#VALUE!</v>
      </c>
      <c r="F46" s="316" t="e">
        <f>ROUND(C46/('数据-汇总表'!D3/666.67),0)</f>
        <v>#VALUE!</v>
      </c>
      <c r="G46" s="309"/>
      <c r="H46" s="309"/>
      <c r="I46" s="317"/>
      <c r="J46" s="2025"/>
      <c r="K46" s="2023"/>
      <c r="L46" s="2023"/>
      <c r="M46" s="2023"/>
      <c r="N46" s="2023"/>
      <c r="O46" s="2023"/>
      <c r="P46" s="2023"/>
      <c r="Q46" s="2023"/>
      <c r="R46" s="2023"/>
      <c r="S46" s="2023"/>
      <c r="T46" s="2023"/>
      <c r="U46" s="2023"/>
      <c r="V46" s="2023"/>
    </row>
    <row r="47" spans="1:26" ht="15.75">
      <c r="A47" s="319" t="s">
        <v>359</v>
      </c>
      <c r="B47" s="1278"/>
      <c r="C47" s="320" t="s">
        <v>360</v>
      </c>
      <c r="D47" s="321"/>
      <c r="E47" s="321"/>
      <c r="F47" s="321"/>
      <c r="G47" s="322"/>
      <c r="H47" s="323"/>
      <c r="I47" s="324"/>
      <c r="J47" s="2025"/>
      <c r="K47" s="309" t="str">
        <f>IF(C43=0,"本次评估"&amp;IF(G43="设定","设定估价对象","")&amp;"不存在"&amp;MID(A43,3,LEN(A43)-2),"本次评估"&amp;IF(G43="设定","设定","")&amp;MID(A43,3,LEN(A43)-2)&amp;"为人民币"&amp;C43&amp;"万元整。")</f>
        <v>本次评估不存在估价师知悉的法定优先受偿款</v>
      </c>
      <c r="L47" s="2023"/>
      <c r="M47" s="2023"/>
      <c r="N47" s="2023"/>
      <c r="O47" s="2023"/>
      <c r="P47" s="2023"/>
      <c r="Q47" s="2023"/>
      <c r="R47" s="2023"/>
      <c r="S47" s="2023"/>
      <c r="T47" s="2023"/>
      <c r="U47" s="2023"/>
      <c r="V47" s="2023"/>
    </row>
    <row r="48" spans="1:26" ht="12.75">
      <c r="A48" s="325">
        <v>1</v>
      </c>
      <c r="B48" s="326"/>
      <c r="C48" s="326"/>
      <c r="D48" s="321"/>
      <c r="E48" s="321"/>
      <c r="F48" s="321"/>
      <c r="G48" s="321"/>
      <c r="H48" s="327"/>
      <c r="I48" s="328"/>
      <c r="J48" s="2025"/>
      <c r="K48" s="2023"/>
      <c r="L48" s="2023"/>
      <c r="M48" s="2023"/>
      <c r="N48" s="2023"/>
      <c r="O48" s="2023"/>
      <c r="P48" s="2023"/>
      <c r="Q48" s="2023"/>
      <c r="R48" s="2023"/>
      <c r="S48" s="2023"/>
      <c r="T48" s="2023"/>
      <c r="U48" s="2023"/>
      <c r="V48" s="2023"/>
    </row>
    <row r="49" spans="1:22" ht="12.75">
      <c r="A49" s="325">
        <v>2</v>
      </c>
      <c r="B49" s="326"/>
      <c r="C49" s="326"/>
      <c r="D49" s="321"/>
      <c r="E49" s="321"/>
      <c r="F49" s="321"/>
      <c r="G49" s="321"/>
      <c r="H49" s="327"/>
      <c r="I49" s="328"/>
      <c r="J49" s="2026"/>
      <c r="K49" s="2023"/>
      <c r="L49" s="2023"/>
      <c r="M49" s="2023"/>
      <c r="N49" s="2023"/>
      <c r="O49" s="2023"/>
      <c r="P49" s="2023"/>
      <c r="Q49" s="2023"/>
      <c r="R49" s="2023"/>
      <c r="S49" s="2023"/>
      <c r="T49" s="2023"/>
      <c r="U49" s="2023"/>
      <c r="V49" s="2023"/>
    </row>
    <row r="50" spans="1:22" ht="12.75">
      <c r="A50" s="325">
        <v>3</v>
      </c>
      <c r="B50" s="326"/>
      <c r="C50" s="326"/>
      <c r="D50" s="321"/>
      <c r="E50" s="321"/>
      <c r="F50" s="321"/>
      <c r="G50" s="321"/>
      <c r="H50" s="327"/>
      <c r="I50" s="328"/>
      <c r="J50" s="2026"/>
      <c r="K50" s="2023"/>
      <c r="L50" s="2023"/>
      <c r="M50" s="2023"/>
      <c r="N50" s="2023"/>
      <c r="O50" s="2023"/>
      <c r="P50" s="2023"/>
      <c r="Q50" s="2023"/>
      <c r="R50" s="2023"/>
      <c r="S50" s="2023"/>
      <c r="T50" s="2023"/>
      <c r="U50" s="2023"/>
      <c r="V50" s="2023"/>
    </row>
    <row r="51" spans="1:22" ht="12.75">
      <c r="A51" s="329"/>
      <c r="B51" s="330"/>
      <c r="C51" s="330"/>
      <c r="D51" s="331"/>
      <c r="E51" s="331"/>
      <c r="F51" s="331"/>
      <c r="G51" s="331"/>
      <c r="H51" s="332"/>
      <c r="I51" s="333"/>
      <c r="J51" s="2026"/>
      <c r="K51" s="2023"/>
      <c r="L51" s="2023"/>
      <c r="M51" s="2023"/>
      <c r="N51" s="2023"/>
      <c r="O51" s="2023"/>
      <c r="P51" s="2023"/>
      <c r="Q51" s="2023"/>
      <c r="R51" s="2023"/>
      <c r="S51" s="2023"/>
      <c r="T51" s="2023"/>
      <c r="U51" s="2023"/>
      <c r="V51" s="2023"/>
    </row>
    <row r="52" spans="1:22" ht="12.75">
      <c r="A52" s="326"/>
      <c r="B52" s="326"/>
      <c r="C52" s="326"/>
      <c r="D52" s="321"/>
      <c r="E52" s="321"/>
      <c r="F52" s="321"/>
      <c r="G52" s="321"/>
      <c r="H52" s="327"/>
      <c r="I52" s="252"/>
      <c r="J52" s="2026"/>
      <c r="K52" s="2023"/>
      <c r="L52" s="2023"/>
      <c r="M52" s="2023"/>
      <c r="N52" s="2023"/>
      <c r="O52" s="2023"/>
      <c r="P52" s="2023"/>
      <c r="Q52" s="2023"/>
      <c r="R52" s="2023"/>
      <c r="S52" s="2023"/>
      <c r="T52" s="2023"/>
      <c r="U52" s="2023"/>
      <c r="V52" s="2023"/>
    </row>
    <row r="53" spans="1:22" ht="12.75">
      <c r="A53" s="252"/>
      <c r="B53" s="252"/>
      <c r="C53" s="252"/>
      <c r="D53" s="252"/>
      <c r="E53" s="252"/>
      <c r="F53" s="334" t="s">
        <v>361</v>
      </c>
      <c r="G53" s="335"/>
      <c r="H53" s="335"/>
      <c r="I53" s="336" t="s">
        <v>362</v>
      </c>
      <c r="J53" s="2026"/>
      <c r="K53" s="2023"/>
      <c r="L53" s="2023"/>
      <c r="M53" s="2023"/>
      <c r="N53" s="2023"/>
      <c r="O53" s="2023"/>
      <c r="P53" s="2023"/>
      <c r="Q53" s="2023"/>
      <c r="R53" s="2023"/>
      <c r="S53" s="2023"/>
      <c r="T53" s="2023"/>
      <c r="U53" s="2023"/>
      <c r="V53" s="2023"/>
    </row>
    <row r="54" spans="1:22" ht="12.75">
      <c r="A54" s="252"/>
      <c r="B54" s="337" t="s">
        <v>363</v>
      </c>
      <c r="C54" s="252"/>
      <c r="D54" s="252"/>
      <c r="E54" s="252"/>
      <c r="F54" s="252"/>
      <c r="G54" s="252"/>
      <c r="H54" s="252"/>
      <c r="I54" s="252"/>
      <c r="J54" s="2026"/>
      <c r="K54" s="2023"/>
      <c r="L54" s="2023"/>
      <c r="M54" s="2023"/>
      <c r="N54" s="2023"/>
      <c r="O54" s="2023"/>
      <c r="P54" s="2023"/>
      <c r="Q54" s="2023"/>
      <c r="R54" s="2023"/>
      <c r="S54" s="2023"/>
      <c r="T54" s="2023"/>
      <c r="U54" s="2023"/>
      <c r="V54" s="2023"/>
    </row>
    <row r="55" spans="1:22" ht="12.75">
      <c r="A55" s="252"/>
      <c r="B55" s="252"/>
      <c r="C55" s="252"/>
      <c r="D55" s="252"/>
      <c r="E55" s="252"/>
      <c r="F55" s="252"/>
      <c r="G55" s="252"/>
      <c r="H55" s="252"/>
      <c r="I55" s="252"/>
      <c r="J55" s="2026"/>
      <c r="K55" s="2023"/>
      <c r="L55" s="2023"/>
      <c r="M55" s="2023"/>
      <c r="N55" s="2023"/>
      <c r="O55" s="2023"/>
      <c r="P55" s="2023"/>
      <c r="Q55" s="2023"/>
      <c r="R55" s="2023"/>
      <c r="S55" s="2023"/>
      <c r="T55" s="2023"/>
      <c r="U55" s="2023"/>
      <c r="V55" s="2023"/>
    </row>
    <row r="56" spans="1:22" ht="12.75">
      <c r="A56" s="252"/>
      <c r="B56" s="335"/>
      <c r="C56" s="335"/>
      <c r="D56" s="335"/>
      <c r="E56" s="335"/>
      <c r="F56" s="335"/>
      <c r="G56" s="335"/>
      <c r="H56" s="335"/>
      <c r="I56" s="336" t="s">
        <v>364</v>
      </c>
      <c r="J56" s="2026"/>
      <c r="K56" s="2023"/>
      <c r="L56" s="2023"/>
      <c r="M56" s="2023"/>
      <c r="N56" s="2023"/>
      <c r="O56" s="2023"/>
      <c r="P56" s="2023"/>
      <c r="Q56" s="2023"/>
      <c r="R56" s="2023"/>
      <c r="S56" s="2023"/>
      <c r="T56" s="2023"/>
      <c r="U56" s="2023"/>
      <c r="V56" s="2023"/>
    </row>
    <row r="57" spans="1:22" ht="12.75">
      <c r="A57" s="252"/>
      <c r="B57" s="337" t="s">
        <v>365</v>
      </c>
      <c r="C57" s="252"/>
      <c r="D57" s="252"/>
      <c r="E57" s="252"/>
      <c r="F57" s="252"/>
      <c r="G57" s="252"/>
      <c r="H57" s="252"/>
      <c r="I57" s="252"/>
      <c r="J57" s="2026"/>
      <c r="K57" s="2023"/>
      <c r="L57" s="2023"/>
      <c r="M57" s="2023"/>
      <c r="N57" s="2023"/>
      <c r="O57" s="2023"/>
      <c r="P57" s="2023"/>
      <c r="Q57" s="2023"/>
      <c r="R57" s="2023"/>
      <c r="S57" s="2023"/>
      <c r="T57" s="2023"/>
      <c r="U57" s="2023"/>
      <c r="V57" s="2023"/>
    </row>
    <row r="58" spans="1:22" ht="12.75">
      <c r="A58" s="252"/>
      <c r="B58" s="337"/>
      <c r="C58" s="252"/>
      <c r="D58" s="252"/>
      <c r="E58" s="252"/>
      <c r="F58" s="252"/>
      <c r="G58" s="252"/>
      <c r="H58" s="252"/>
      <c r="I58" s="252"/>
      <c r="J58" s="2026"/>
      <c r="K58" s="2023"/>
      <c r="L58" s="2023"/>
      <c r="M58" s="2023"/>
      <c r="N58" s="2023"/>
      <c r="O58" s="2023"/>
      <c r="P58" s="2023"/>
      <c r="Q58" s="2023"/>
      <c r="R58" s="2023"/>
      <c r="S58" s="2023"/>
      <c r="T58" s="2023"/>
      <c r="U58" s="2023"/>
      <c r="V58" s="2023"/>
    </row>
    <row r="59" spans="1:22" ht="12.75">
      <c r="A59" s="252"/>
      <c r="B59" s="335"/>
      <c r="C59" s="335"/>
      <c r="D59" s="335"/>
      <c r="E59" s="335"/>
      <c r="F59" s="335"/>
      <c r="G59" s="335"/>
      <c r="H59" s="335"/>
      <c r="I59" s="336" t="s">
        <v>364</v>
      </c>
      <c r="J59" s="2026"/>
      <c r="K59" s="2023"/>
      <c r="L59" s="2023"/>
      <c r="M59" s="2023"/>
      <c r="N59" s="2023"/>
      <c r="O59" s="2023"/>
      <c r="P59" s="2023"/>
      <c r="Q59" s="2023"/>
      <c r="R59" s="2023"/>
      <c r="S59" s="2023"/>
      <c r="T59" s="2023"/>
      <c r="U59" s="2023"/>
      <c r="V59" s="2023"/>
    </row>
    <row r="60" spans="1:22" ht="12.75">
      <c r="A60" s="252"/>
      <c r="B60" s="252"/>
      <c r="C60" s="252"/>
      <c r="D60" s="252"/>
      <c r="E60" s="252"/>
      <c r="F60" s="252"/>
      <c r="G60" s="252"/>
      <c r="H60" s="252"/>
      <c r="I60" s="252"/>
      <c r="J60" s="2026"/>
      <c r="K60" s="2023"/>
      <c r="L60" s="2023"/>
      <c r="M60" s="2023"/>
      <c r="N60" s="2023"/>
      <c r="O60" s="2023"/>
      <c r="P60" s="2023"/>
      <c r="Q60" s="2023"/>
      <c r="R60" s="2023"/>
      <c r="S60" s="2023"/>
      <c r="T60" s="2023"/>
      <c r="U60" s="2023"/>
      <c r="V60" s="2023"/>
    </row>
    <row r="61" spans="1:22" ht="12.75">
      <c r="A61" s="252"/>
      <c r="B61" s="337"/>
      <c r="C61" s="338"/>
      <c r="D61" s="212"/>
      <c r="E61" s="212"/>
      <c r="F61" s="248"/>
      <c r="G61" s="252"/>
      <c r="H61" s="252"/>
      <c r="I61" s="252"/>
      <c r="J61" s="2026"/>
      <c r="K61" s="2023"/>
      <c r="L61" s="2023"/>
      <c r="M61" s="2023"/>
      <c r="N61" s="2023"/>
      <c r="O61" s="2023"/>
      <c r="P61" s="2023"/>
      <c r="Q61" s="2023"/>
      <c r="R61" s="2023"/>
      <c r="S61" s="2023"/>
      <c r="T61" s="2023"/>
      <c r="U61" s="2023"/>
      <c r="V61" s="2023"/>
    </row>
    <row r="62" spans="1:22" ht="18.75">
      <c r="A62" s="1279" t="s">
        <v>366</v>
      </c>
      <c r="B62" s="1280"/>
      <c r="C62" s="1280"/>
      <c r="D62" s="1281"/>
      <c r="E62" s="1281"/>
      <c r="F62" s="1282"/>
      <c r="G62" s="1282"/>
      <c r="H62" s="1282"/>
      <c r="I62" s="1282"/>
      <c r="J62" s="2027"/>
      <c r="K62" s="2023"/>
      <c r="L62" s="2023"/>
      <c r="M62" s="2023"/>
      <c r="N62" s="2023"/>
      <c r="O62" s="2023"/>
      <c r="P62" s="2023"/>
      <c r="Q62" s="2023"/>
      <c r="R62" s="2023"/>
      <c r="S62" s="2023"/>
      <c r="T62" s="2023"/>
      <c r="U62" s="2023"/>
      <c r="V62" s="2023"/>
    </row>
    <row r="63" spans="1:22" ht="14.25" customHeight="1" thickBot="1">
      <c r="A63" s="3403" t="s">
        <v>367</v>
      </c>
      <c r="B63" s="3404"/>
      <c r="C63" s="3405"/>
      <c r="D63" s="339">
        <f ca="1">ROUND(C42*F63,0)</f>
        <v>349049</v>
      </c>
      <c r="E63" s="300" t="s">
        <v>368</v>
      </c>
      <c r="F63" s="340">
        <v>0.6</v>
      </c>
      <c r="G63" s="341" t="s">
        <v>369</v>
      </c>
      <c r="H63" s="309"/>
      <c r="I63" s="309"/>
      <c r="J63" s="2023"/>
      <c r="K63" s="2023"/>
      <c r="L63" s="2023"/>
      <c r="M63" s="2023"/>
      <c r="N63" s="2023"/>
      <c r="O63" s="2023"/>
      <c r="P63" s="309"/>
      <c r="Q63" s="2023"/>
      <c r="R63" s="2023"/>
      <c r="S63" s="2023"/>
      <c r="T63" s="2023"/>
      <c r="U63" s="2023"/>
      <c r="V63" s="2023"/>
    </row>
    <row r="64" spans="1:22" ht="14.25" customHeight="1">
      <c r="A64" s="3442" t="s">
        <v>371</v>
      </c>
      <c r="B64" s="3443"/>
      <c r="C64" s="3443"/>
      <c r="D64" s="3443"/>
      <c r="E64" s="3443"/>
      <c r="F64" s="3443"/>
      <c r="G64" s="3444"/>
      <c r="H64" s="1283"/>
      <c r="I64" s="943"/>
      <c r="J64" s="1985"/>
      <c r="K64" s="1556" t="s">
        <v>370</v>
      </c>
      <c r="L64" s="11"/>
      <c r="M64" s="11"/>
      <c r="N64" s="11"/>
      <c r="O64" s="11"/>
      <c r="P64" s="309"/>
      <c r="Q64" s="2023"/>
      <c r="R64" s="2023"/>
      <c r="S64" s="2023"/>
      <c r="T64" s="2023"/>
      <c r="U64" s="2023"/>
      <c r="V64" s="2023"/>
    </row>
    <row r="65" spans="1:22" ht="12" customHeight="1">
      <c r="A65" s="342" t="s">
        <v>373</v>
      </c>
      <c r="B65" s="343"/>
      <c r="C65" s="344"/>
      <c r="D65" s="345" t="s">
        <v>374</v>
      </c>
      <c r="E65" s="53" t="s">
        <v>375</v>
      </c>
      <c r="F65" s="346" t="s">
        <v>376</v>
      </c>
      <c r="G65" s="347" t="s">
        <v>377</v>
      </c>
      <c r="H65" s="1283"/>
      <c r="I65" s="943"/>
      <c r="J65" s="1985"/>
      <c r="K65" s="1284"/>
      <c r="L65" s="1285"/>
      <c r="M65" s="1285"/>
      <c r="N65" s="1317" t="s">
        <v>372</v>
      </c>
      <c r="O65" s="1318"/>
      <c r="P65" s="1319"/>
      <c r="Q65" s="2023"/>
      <c r="R65" s="2023"/>
      <c r="S65" s="2023"/>
      <c r="T65" s="2023"/>
      <c r="U65" s="2023"/>
      <c r="V65" s="2023"/>
    </row>
    <row r="66" spans="1:22" ht="25.5">
      <c r="A66" s="3439" t="s">
        <v>379</v>
      </c>
      <c r="B66" s="3410"/>
      <c r="C66" s="3410"/>
      <c r="D66" s="256">
        <f ca="1">IF(H66="情况1",0,IF(H66="情况2",D70,IF(H66="情况3",D71,IF(H66="情况4",D72))))</f>
        <v>18616</v>
      </c>
      <c r="E66" s="988" t="str">
        <f>IF(H66="情况4","(销售额-原购置价)×税（费）率","销售额×税（费）率")</f>
        <v>销售额×税（费）率</v>
      </c>
      <c r="F66" s="348">
        <f>IF(H66="情况1","免征",'数据-取费表'!B41)</f>
        <v>5.6000000000000001E-2</v>
      </c>
      <c r="G66" s="349" t="s">
        <v>380</v>
      </c>
      <c r="H66" s="189" t="s">
        <v>381</v>
      </c>
      <c r="I66" s="1283"/>
      <c r="J66" s="2029"/>
      <c r="K66" s="1286">
        <v>1</v>
      </c>
      <c r="L66" s="3379" t="s">
        <v>378</v>
      </c>
      <c r="M66" s="3380"/>
      <c r="N66" s="2477"/>
      <c r="O66" s="2478"/>
      <c r="P66" s="2479"/>
      <c r="Q66" s="2023"/>
      <c r="R66" s="2023"/>
      <c r="S66" s="2023"/>
      <c r="T66" s="2023"/>
      <c r="U66" s="2023"/>
      <c r="V66" s="2023"/>
    </row>
    <row r="67" spans="1:22" ht="25.5" customHeight="1">
      <c r="A67" s="350" t="s">
        <v>383</v>
      </c>
      <c r="B67" s="3422" t="s">
        <v>384</v>
      </c>
      <c r="C67" s="3422"/>
      <c r="D67" s="351">
        <v>0</v>
      </c>
      <c r="E67" s="41" t="s">
        <v>385</v>
      </c>
      <c r="F67" s="62" t="s">
        <v>21</v>
      </c>
      <c r="G67" s="3406"/>
      <c r="H67" s="309"/>
      <c r="I67" s="1287"/>
      <c r="J67" s="2030"/>
      <c r="K67" s="1971">
        <v>2</v>
      </c>
      <c r="L67" s="3378" t="s">
        <v>382</v>
      </c>
      <c r="M67" s="3378"/>
      <c r="N67" s="1320">
        <f>'数据-取费表'!B2</f>
        <v>43035</v>
      </c>
      <c r="O67" s="1320"/>
      <c r="P67" s="1320"/>
      <c r="Q67" s="2023"/>
      <c r="R67" s="2023"/>
      <c r="S67" s="2023"/>
      <c r="T67" s="2023"/>
      <c r="U67" s="2023"/>
      <c r="V67" s="2023"/>
    </row>
    <row r="68" spans="1:22" ht="25.5" customHeight="1">
      <c r="A68" s="352"/>
      <c r="B68" s="3422" t="s">
        <v>387</v>
      </c>
      <c r="C68" s="3422"/>
      <c r="D68" s="353"/>
      <c r="E68" s="77"/>
      <c r="F68" s="354"/>
      <c r="G68" s="3407"/>
      <c r="H68" s="309"/>
      <c r="I68" s="1287"/>
      <c r="J68" s="2030"/>
      <c r="K68" s="1971">
        <v>3</v>
      </c>
      <c r="L68" s="3378" t="s">
        <v>386</v>
      </c>
      <c r="M68" s="3378"/>
      <c r="N68" s="1288">
        <f ca="1">C42</f>
        <v>581748</v>
      </c>
      <c r="O68" s="1288"/>
      <c r="P68" s="1288"/>
      <c r="Q68" s="2023"/>
      <c r="R68" s="2023"/>
      <c r="S68" s="2023"/>
      <c r="T68" s="2023"/>
      <c r="U68" s="2023"/>
      <c r="V68" s="2023"/>
    </row>
    <row r="69" spans="1:22" ht="12" customHeight="1">
      <c r="A69" s="355"/>
      <c r="B69" s="3422" t="s">
        <v>388</v>
      </c>
      <c r="C69" s="3422"/>
      <c r="D69" s="356"/>
      <c r="E69" s="73"/>
      <c r="F69" s="354"/>
      <c r="G69" s="3408"/>
      <c r="H69" s="309"/>
      <c r="I69" s="1287"/>
      <c r="J69" s="2030"/>
      <c r="K69" s="1289">
        <v>4</v>
      </c>
      <c r="L69" s="3384" t="s">
        <v>2882</v>
      </c>
      <c r="M69" s="3385"/>
      <c r="N69" s="1290">
        <f ca="1">C44</f>
        <v>581748</v>
      </c>
      <c r="O69" s="1290"/>
      <c r="P69" s="1290"/>
      <c r="Q69" s="2023"/>
      <c r="R69" s="2023"/>
      <c r="S69" s="2023"/>
      <c r="T69" s="2023"/>
      <c r="U69" s="2023"/>
      <c r="V69" s="2023"/>
    </row>
    <row r="70" spans="1:22" ht="24" customHeight="1">
      <c r="A70" s="357" t="s">
        <v>389</v>
      </c>
      <c r="B70" s="3422" t="s">
        <v>390</v>
      </c>
      <c r="C70" s="3422"/>
      <c r="D70" s="356">
        <f ca="1">ROUND(D63*'数据-取费表'!B41/(1+'数据-取费表'!C42),0)</f>
        <v>18616</v>
      </c>
      <c r="E70" s="17" t="s">
        <v>391</v>
      </c>
      <c r="F70" s="358">
        <f>'数据-取费表'!B41</f>
        <v>5.6000000000000001E-2</v>
      </c>
      <c r="G70" s="359"/>
      <c r="H70" s="309"/>
      <c r="I70" s="1287"/>
      <c r="J70" s="2030"/>
      <c r="K70" s="3081"/>
      <c r="L70" s="3082"/>
      <c r="M70" s="3082"/>
      <c r="N70" s="3083" t="s">
        <v>2887</v>
      </c>
      <c r="O70" s="3082"/>
      <c r="P70" s="3084"/>
      <c r="Q70" s="2023"/>
      <c r="R70" s="2023"/>
      <c r="S70" s="2023"/>
      <c r="T70" s="2023"/>
      <c r="U70" s="2023"/>
      <c r="V70" s="2023"/>
    </row>
    <row r="71" spans="1:22" ht="12" customHeight="1">
      <c r="A71" s="357" t="s">
        <v>397</v>
      </c>
      <c r="B71" s="3421" t="s">
        <v>398</v>
      </c>
      <c r="C71" s="3433"/>
      <c r="D71" s="356">
        <f ca="1">ROUND(D63*'数据-取费表'!B41/(1+'数据-取费表'!C42),0)</f>
        <v>18616</v>
      </c>
      <c r="E71" s="17" t="s">
        <v>391</v>
      </c>
      <c r="F71" s="358">
        <f>'数据-取费表'!B41</f>
        <v>5.6000000000000001E-2</v>
      </c>
      <c r="G71" s="359"/>
      <c r="H71" s="309"/>
      <c r="I71" s="1287"/>
      <c r="J71" s="2030"/>
      <c r="K71" s="3080" t="s">
        <v>392</v>
      </c>
      <c r="L71" s="3386" t="s">
        <v>393</v>
      </c>
      <c r="M71" s="3386"/>
      <c r="N71" s="3080" t="s">
        <v>394</v>
      </c>
      <c r="O71" s="3080" t="s">
        <v>395</v>
      </c>
      <c r="P71" s="3080" t="s">
        <v>396</v>
      </c>
      <c r="Q71" s="2023"/>
      <c r="R71" s="2023"/>
      <c r="S71" s="2023"/>
      <c r="T71" s="2023"/>
      <c r="U71" s="2023"/>
      <c r="V71" s="2023"/>
    </row>
    <row r="72" spans="1:22" ht="12" customHeight="1">
      <c r="A72" s="357" t="s">
        <v>400</v>
      </c>
      <c r="B72" s="3421" t="s">
        <v>401</v>
      </c>
      <c r="C72" s="3433"/>
      <c r="D72" s="356">
        <f ca="1">C86</f>
        <v>18504</v>
      </c>
      <c r="E72" s="73" t="s">
        <v>402</v>
      </c>
      <c r="F72" s="358">
        <f>'数据-取费表'!B41</f>
        <v>5.6000000000000001E-2</v>
      </c>
      <c r="G72" s="359"/>
      <c r="H72" s="1293"/>
      <c r="I72" s="1287"/>
      <c r="J72" s="2030"/>
      <c r="K72" s="1971">
        <v>1</v>
      </c>
      <c r="L72" s="3383" t="s">
        <v>399</v>
      </c>
      <c r="M72" s="3383"/>
      <c r="N72" s="1291">
        <f ca="1">D66</f>
        <v>18616</v>
      </c>
      <c r="O72" s="1854" t="str">
        <f>E66</f>
        <v>销售额×税（费）率</v>
      </c>
      <c r="P72" s="1292">
        <f>F66</f>
        <v>5.6000000000000001E-2</v>
      </c>
      <c r="Q72" s="2023"/>
      <c r="R72" s="2023"/>
      <c r="S72" s="2023"/>
      <c r="T72" s="2023"/>
      <c r="U72" s="2023"/>
      <c r="V72" s="2023"/>
    </row>
    <row r="73" spans="1:22" ht="24" customHeight="1">
      <c r="A73" s="3409" t="s">
        <v>404</v>
      </c>
      <c r="B73" s="3410"/>
      <c r="C73" s="3410"/>
      <c r="D73" s="360">
        <f>IF(H73="个人住宅",0,ROUND(D63*I73,0))</f>
        <v>0</v>
      </c>
      <c r="E73" s="17" t="s">
        <v>405</v>
      </c>
      <c r="F73" s="358" t="str">
        <f>IF(H73="正常",I73,"免征")</f>
        <v>免征</v>
      </c>
      <c r="G73" s="359"/>
      <c r="H73" s="189" t="s">
        <v>2451</v>
      </c>
      <c r="I73" s="358">
        <f>'数据-取费表'!B49</f>
        <v>5.0000000000000001E-4</v>
      </c>
      <c r="J73" s="2030"/>
      <c r="K73" s="1971">
        <v>2</v>
      </c>
      <c r="L73" s="3383" t="s">
        <v>403</v>
      </c>
      <c r="M73" s="3383"/>
      <c r="N73" s="1291">
        <f t="shared" ref="N73:P74" si="1">D73</f>
        <v>0</v>
      </c>
      <c r="O73" s="1854" t="str">
        <f t="shared" si="1"/>
        <v>销售额×税（费）率</v>
      </c>
      <c r="P73" s="1292" t="str">
        <f t="shared" si="1"/>
        <v>免征</v>
      </c>
      <c r="Q73" s="2023"/>
      <c r="R73" s="2023"/>
      <c r="S73" s="2023"/>
      <c r="T73" s="2023"/>
      <c r="U73" s="2023"/>
      <c r="V73" s="2023"/>
    </row>
    <row r="74" spans="1:22" ht="24.75">
      <c r="A74" s="3409" t="s">
        <v>408</v>
      </c>
      <c r="B74" s="3410"/>
      <c r="C74" s="3410"/>
      <c r="D74" s="360">
        <f ca="1">IF(H74="个人住宅",D75,D76)</f>
        <v>196906</v>
      </c>
      <c r="E74" s="17" t="s">
        <v>409</v>
      </c>
      <c r="F74" s="358" t="str">
        <f>IF(H74="正常",F76,"免征")</f>
        <v>——</v>
      </c>
      <c r="G74" s="978" t="s">
        <v>410</v>
      </c>
      <c r="H74" s="361" t="s">
        <v>406</v>
      </c>
      <c r="I74" s="42"/>
      <c r="J74" s="2030"/>
      <c r="K74" s="1971">
        <v>3</v>
      </c>
      <c r="L74" s="3383" t="s">
        <v>407</v>
      </c>
      <c r="M74" s="3383"/>
      <c r="N74" s="1291">
        <f t="shared" ca="1" si="1"/>
        <v>196906</v>
      </c>
      <c r="O74" s="1854" t="str">
        <f t="shared" si="1"/>
        <v>增值额×税（费）率</v>
      </c>
      <c r="P74" s="1294" t="str">
        <f t="shared" si="1"/>
        <v>——</v>
      </c>
      <c r="Q74" s="2023"/>
      <c r="R74" s="2023"/>
      <c r="S74" s="2023"/>
      <c r="T74" s="2023"/>
      <c r="U74" s="2023"/>
      <c r="V74" s="2023"/>
    </row>
    <row r="75" spans="1:22" ht="24">
      <c r="A75" s="357" t="s">
        <v>411</v>
      </c>
      <c r="B75" s="3390" t="s">
        <v>412</v>
      </c>
      <c r="C75" s="3391"/>
      <c r="D75" s="362">
        <v>0</v>
      </c>
      <c r="E75" s="41" t="s">
        <v>413</v>
      </c>
      <c r="F75" s="363"/>
      <c r="G75" s="359"/>
      <c r="H75" s="42"/>
      <c r="I75" s="42"/>
      <c r="J75" s="2030"/>
      <c r="K75" s="3073">
        <f>IF(H77="非个人房产","",4)</f>
        <v>4</v>
      </c>
      <c r="L75" s="3383" t="str">
        <f>IF(H77="非个人房产","——","个人所得税")</f>
        <v>个人所得税</v>
      </c>
      <c r="M75" s="3383"/>
      <c r="N75" s="1295">
        <f ca="1">D77</f>
        <v>3490</v>
      </c>
      <c r="O75" s="1867" t="str">
        <f>E77</f>
        <v>销售额×税（费）率</v>
      </c>
      <c r="P75" s="1296">
        <f>F77</f>
        <v>0.01</v>
      </c>
      <c r="Q75" s="2023"/>
      <c r="R75" s="2023"/>
      <c r="S75" s="2023"/>
      <c r="T75" s="2023"/>
      <c r="U75" s="2023"/>
      <c r="V75" s="2023"/>
    </row>
    <row r="76" spans="1:22" ht="24.75">
      <c r="A76" s="357" t="s">
        <v>389</v>
      </c>
      <c r="B76" s="3390" t="s">
        <v>415</v>
      </c>
      <c r="C76" s="3432"/>
      <c r="D76" s="360">
        <f ca="1">IF(H76="转让取得",C99,C115)</f>
        <v>196906</v>
      </c>
      <c r="E76" s="17" t="s">
        <v>416</v>
      </c>
      <c r="F76" s="53" t="s">
        <v>21</v>
      </c>
      <c r="G76" s="359"/>
      <c r="H76" s="361" t="s">
        <v>417</v>
      </c>
      <c r="I76" s="42"/>
      <c r="J76" s="2030"/>
      <c r="K76" s="3073" t="str">
        <f>IF(项目基本情况!K6="上海银行",IF(K75="",4,K75+1),"")</f>
        <v/>
      </c>
      <c r="L76" s="3371" t="str">
        <f>IF(项目基本情况!K6="上海银行","其他处置费用","")</f>
        <v/>
      </c>
      <c r="M76" s="3372"/>
      <c r="N76" s="1291" t="str">
        <f>IF(项目基本情况!K6="上海银行",N89,"")</f>
        <v/>
      </c>
      <c r="O76" s="3373" t="str">
        <f>IF(项目基本情况!K6="上海银行","包含处置中涉及的律师、诉讼、拍卖、评估等费用","")</f>
        <v/>
      </c>
      <c r="P76" s="3374"/>
      <c r="Q76" s="2023"/>
      <c r="R76" s="2023"/>
      <c r="S76" s="2023"/>
      <c r="T76" s="2023"/>
      <c r="U76" s="2023"/>
      <c r="V76" s="2023"/>
    </row>
    <row r="77" spans="1:22" ht="26.25" thickBot="1">
      <c r="A77" s="3401" t="s">
        <v>419</v>
      </c>
      <c r="B77" s="3402"/>
      <c r="C77" s="3402"/>
      <c r="D77" s="364">
        <f ca="1">IF(H77="非个人房产","——",IF(H77="个人住宅",0,ROUND(D63*I77,0)))</f>
        <v>3490</v>
      </c>
      <c r="E77" s="365" t="str">
        <f>IF(H77="非个人房产","——","销售额×税（费）率")</f>
        <v>销售额×税（费）率</v>
      </c>
      <c r="F77" s="366">
        <f>IF(H77="非个人房产","——",IF(H77="个人住宅","免征",I77))</f>
        <v>0.01</v>
      </c>
      <c r="G77" s="979" t="s">
        <v>410</v>
      </c>
      <c r="H77" s="361" t="s">
        <v>2883</v>
      </c>
      <c r="I77" s="367">
        <v>0.01</v>
      </c>
      <c r="J77" s="2030"/>
      <c r="K77" s="3397">
        <f>IF(AND(K75="",K76=""),4,IF(项目基本情况!K6="上海银行",K76+1,K75+1))</f>
        <v>5</v>
      </c>
      <c r="L77" s="3383" t="s">
        <v>2884</v>
      </c>
      <c r="M77" s="3079" t="s">
        <v>414</v>
      </c>
      <c r="N77" s="1297"/>
      <c r="O77" s="1298">
        <f ca="1">SUMIF(N72:N76,"&lt;9e307")</f>
        <v>219012</v>
      </c>
      <c r="P77" s="1299"/>
      <c r="Q77" s="3077">
        <f ca="1">O77/N69</f>
        <v>0.37647228696961571</v>
      </c>
      <c r="R77" s="2023"/>
      <c r="S77" s="2023"/>
      <c r="T77" s="2023"/>
      <c r="U77" s="2023"/>
      <c r="V77" s="2023"/>
    </row>
    <row r="78" spans="1:22" ht="12" customHeight="1">
      <c r="A78" s="1300"/>
      <c r="B78" s="309"/>
      <c r="C78" s="309"/>
      <c r="D78" s="309"/>
      <c r="E78" s="42"/>
      <c r="F78" s="42"/>
      <c r="G78" s="42"/>
      <c r="H78" s="998"/>
      <c r="I78" s="309"/>
      <c r="J78" s="2030"/>
      <c r="K78" s="3397"/>
      <c r="L78" s="3383"/>
      <c r="M78" s="3079" t="s">
        <v>418</v>
      </c>
      <c r="N78" s="1297"/>
      <c r="O78" s="1298" t="str">
        <f ca="1">NUMBERSTRING(INT(O77*10000),2)&amp;"元整"</f>
        <v>贰拾壹亿玖仟零壹拾贰万元整</v>
      </c>
      <c r="P78" s="1299"/>
      <c r="Q78" s="2023"/>
      <c r="R78" s="2023"/>
      <c r="S78" s="2023"/>
      <c r="T78" s="2023"/>
      <c r="U78" s="2023"/>
      <c r="V78" s="2023"/>
    </row>
    <row r="79" spans="1:22" ht="13.5" thickBot="1">
      <c r="A79" s="3387" t="s">
        <v>420</v>
      </c>
      <c r="B79" s="3387"/>
      <c r="C79" s="3387"/>
      <c r="D79" s="3387"/>
      <c r="E79" s="3387"/>
      <c r="F79" s="42"/>
      <c r="G79" s="42"/>
      <c r="H79" s="998"/>
      <c r="I79" s="309"/>
      <c r="J79" s="2030"/>
      <c r="K79" s="3381">
        <f>K77+1</f>
        <v>6</v>
      </c>
      <c r="L79" s="3383" t="s">
        <v>2885</v>
      </c>
      <c r="M79" s="3079" t="s">
        <v>414</v>
      </c>
      <c r="N79" s="1297"/>
      <c r="O79" s="1298">
        <f ca="1">N69-O77</f>
        <v>362736</v>
      </c>
      <c r="P79" s="1299"/>
      <c r="Q79" s="2023"/>
      <c r="R79" s="2023"/>
      <c r="S79" s="2023"/>
      <c r="T79" s="2023"/>
      <c r="U79" s="2023"/>
      <c r="V79" s="2023"/>
    </row>
    <row r="80" spans="1:22" ht="25.5">
      <c r="A80" s="3388" t="s">
        <v>421</v>
      </c>
      <c r="B80" s="3389"/>
      <c r="C80" s="989"/>
      <c r="D80" s="989" t="s">
        <v>422</v>
      </c>
      <c r="E80" s="368" t="s">
        <v>423</v>
      </c>
      <c r="F80" s="42"/>
      <c r="G80" s="42"/>
      <c r="H80" s="998"/>
      <c r="I80" s="309"/>
      <c r="J80" s="2023"/>
      <c r="K80" s="3382"/>
      <c r="L80" s="3383"/>
      <c r="M80" s="3079" t="s">
        <v>418</v>
      </c>
      <c r="N80" s="1297"/>
      <c r="O80" s="1298" t="str">
        <f ca="1">NUMBERSTRING(INT(O79*10000),2)&amp;"元整"</f>
        <v>叁拾陆亿贰仟柒佰叁拾陆万元整</v>
      </c>
      <c r="P80" s="1299"/>
      <c r="Q80" s="2023"/>
      <c r="R80" s="2023"/>
      <c r="S80" s="2023"/>
      <c r="T80" s="2023"/>
      <c r="U80" s="2023"/>
      <c r="V80" s="2023"/>
    </row>
    <row r="81" spans="1:26" ht="13.5" thickBot="1">
      <c r="A81" s="379" t="s">
        <v>1817</v>
      </c>
      <c r="B81" s="369" t="s">
        <v>424</v>
      </c>
      <c r="C81" s="370">
        <f ca="1">ROUND((C82+C83)/(1+'数据-取费表'!C42),0)</f>
        <v>332428</v>
      </c>
      <c r="D81" s="371"/>
      <c r="E81" s="372"/>
      <c r="F81" s="42"/>
      <c r="G81" s="42"/>
      <c r="H81" s="998"/>
      <c r="I81" s="309"/>
      <c r="J81" s="2023"/>
      <c r="K81" s="3073">
        <f>K79+1</f>
        <v>7</v>
      </c>
      <c r="L81" s="3395" t="s">
        <v>2886</v>
      </c>
      <c r="M81" s="3396"/>
      <c r="N81" s="1301"/>
      <c r="O81" s="1302">
        <f ca="1">ROUND(O79*10000/'数据-汇总表'!E3,0)</f>
        <v>8788</v>
      </c>
      <c r="P81" s="1303"/>
      <c r="Q81" s="2023"/>
      <c r="R81" s="2023"/>
      <c r="S81" s="2023"/>
      <c r="T81" s="2023"/>
      <c r="U81" s="2023"/>
      <c r="V81" s="2023"/>
    </row>
    <row r="82" spans="1:26" ht="13.5" thickTop="1">
      <c r="A82" s="373" t="s">
        <v>1818</v>
      </c>
      <c r="B82" s="374" t="s">
        <v>425</v>
      </c>
      <c r="C82" s="375">
        <f ca="1">D63</f>
        <v>349049</v>
      </c>
      <c r="D82" s="376" t="s">
        <v>19</v>
      </c>
      <c r="E82" s="377"/>
      <c r="F82" s="42"/>
      <c r="G82" s="42"/>
      <c r="H82" s="998"/>
      <c r="I82" s="309"/>
      <c r="J82" s="2023"/>
      <c r="K82" s="2023"/>
      <c r="L82" s="2023"/>
      <c r="M82" s="2023"/>
      <c r="N82" s="2023"/>
      <c r="O82" s="2023"/>
      <c r="P82" s="2023"/>
      <c r="Q82" s="2023"/>
      <c r="R82" s="2023"/>
      <c r="S82" s="2023"/>
      <c r="T82" s="2023"/>
      <c r="U82" s="2023"/>
      <c r="V82" s="2023"/>
    </row>
    <row r="83" spans="1:26" ht="12.75">
      <c r="A83" s="373" t="s">
        <v>1819</v>
      </c>
      <c r="B83" s="374" t="s">
        <v>426</v>
      </c>
      <c r="C83" s="378">
        <v>0</v>
      </c>
      <c r="D83" s="376"/>
      <c r="E83" s="377"/>
      <c r="F83" s="42"/>
      <c r="G83" s="42"/>
      <c r="H83" s="998"/>
      <c r="I83" s="309"/>
      <c r="J83" s="2023"/>
      <c r="K83" s="3370" t="s">
        <v>2873</v>
      </c>
      <c r="L83" s="3085" t="s">
        <v>2874</v>
      </c>
      <c r="M83" s="3075">
        <f ca="1">IF(N69&gt;10000,N69*0.5%,IF(AND(N69&gt;1000,N69&lt;=10000),N69*1%,IF(AND(N69&gt;100,N69&lt;=1000),N69*3%,IF(AND(N69&gt;10,N69&lt;=100),N69*5%,N69*8%))))</f>
        <v>2908.7400000000002</v>
      </c>
      <c r="N83" s="53">
        <f ca="1">ROUND(M83,1)</f>
        <v>2908.7</v>
      </c>
      <c r="O83" s="3078"/>
      <c r="P83" s="2023"/>
      <c r="Q83" s="2023"/>
      <c r="R83" s="2023"/>
      <c r="S83" s="2023"/>
      <c r="T83" s="2023"/>
      <c r="U83" s="2023"/>
      <c r="V83" s="2023"/>
    </row>
    <row r="84" spans="1:26" ht="12.75">
      <c r="A84" s="379" t="s">
        <v>1820</v>
      </c>
      <c r="B84" s="380" t="s">
        <v>427</v>
      </c>
      <c r="C84" s="381">
        <v>2000</v>
      </c>
      <c r="D84" s="382" t="s">
        <v>19</v>
      </c>
      <c r="E84" s="3117" t="s">
        <v>2936</v>
      </c>
      <c r="F84" s="42"/>
      <c r="G84" s="42"/>
      <c r="H84" s="998"/>
      <c r="I84" s="309"/>
      <c r="J84" s="2023"/>
      <c r="K84" s="3370"/>
      <c r="L84" s="3085" t="s">
        <v>2875</v>
      </c>
      <c r="M84" s="3075">
        <f ca="1">IF(N69&gt;2000,N69*0.5%,IF(AND(N69&gt;1000,N69&lt;=2000),N69*0.6%,IF(AND(N69&gt;500,N69&lt;=1000),N69*0.7%,IF(AND(N69&gt;200,N69&lt;=500),N69*0.8%,IF(AND(N69&gt;100,N69&lt;=200),N69*0.9%,IF(AND(N69&gt;50,N69&lt;=100),N69*1%,IF(AND(N69&gt;20,N69&lt;=50),N69*1.5%,IF(AND(N69&gt;10,N69&lt;=20),N69*2%,IF(AND(N69&gt;1,N69&lt;=10),N69*2.5%)))))))))</f>
        <v>2908.7400000000002</v>
      </c>
      <c r="N84" s="53">
        <f t="shared" ref="N84:N85" ca="1" si="2">ROUND(M84,1)</f>
        <v>2908.7</v>
      </c>
      <c r="O84" s="2023" t="s">
        <v>2876</v>
      </c>
      <c r="P84" s="2023"/>
      <c r="Q84" s="2023"/>
      <c r="R84" s="2023"/>
      <c r="S84" s="2023"/>
      <c r="T84" s="2023"/>
      <c r="U84" s="2023"/>
      <c r="V84" s="2023"/>
    </row>
    <row r="85" spans="1:26" ht="12.75">
      <c r="A85" s="379" t="s">
        <v>1821</v>
      </c>
      <c r="B85" s="380" t="s">
        <v>428</v>
      </c>
      <c r="C85" s="383">
        <f ca="1">C81-C84</f>
        <v>330428</v>
      </c>
      <c r="D85" s="376" t="s">
        <v>19</v>
      </c>
      <c r="E85" s="377"/>
      <c r="F85" s="42"/>
      <c r="G85" s="42"/>
      <c r="H85" s="998"/>
      <c r="I85" s="309"/>
      <c r="J85" s="2023"/>
      <c r="K85" s="3370"/>
      <c r="L85" s="3085" t="s">
        <v>2877</v>
      </c>
      <c r="M85" s="3075">
        <f ca="1">IF(N69&gt;1000,N69*0.1%,IF(AND(N69&gt;500,N69&lt;=1000),N69*0.5%,IF(AND(N69&gt;50,N69&lt;=500),N69*1%,IF(AND(N69&gt;1,N69&lt;=50),N69*1.5%))))</f>
        <v>581.74800000000005</v>
      </c>
      <c r="N85" s="53">
        <f t="shared" ca="1" si="2"/>
        <v>581.70000000000005</v>
      </c>
      <c r="O85" s="2023" t="s">
        <v>2876</v>
      </c>
      <c r="P85" s="2023"/>
      <c r="Q85" s="2023"/>
      <c r="R85" s="2023"/>
      <c r="S85" s="2023"/>
      <c r="T85" s="2023"/>
      <c r="U85" s="2023"/>
      <c r="V85" s="2023"/>
    </row>
    <row r="86" spans="1:26" ht="13.5" thickBot="1">
      <c r="A86" s="384" t="s">
        <v>1822</v>
      </c>
      <c r="B86" s="385" t="s">
        <v>429</v>
      </c>
      <c r="C86" s="386">
        <f ca="1">IF(C85&lt;=0,0,ROUND(C85*D86,0))</f>
        <v>18504</v>
      </c>
      <c r="D86" s="387">
        <f>'数据-取费表'!B41</f>
        <v>5.6000000000000001E-2</v>
      </c>
      <c r="E86" s="388"/>
      <c r="F86" s="42"/>
      <c r="G86" s="42"/>
      <c r="H86" s="998"/>
      <c r="I86" s="309"/>
      <c r="J86" s="2023"/>
      <c r="K86" s="3370"/>
      <c r="L86" s="3085" t="s">
        <v>2878</v>
      </c>
      <c r="M86" s="3075">
        <f ca="1">N69*0.5%</f>
        <v>2908.7400000000002</v>
      </c>
      <c r="N86" s="53">
        <f ca="1">IF(M86&gt;0.5,0.5,ROUND(M86,0))</f>
        <v>0.5</v>
      </c>
      <c r="O86" s="2023" t="s">
        <v>2879</v>
      </c>
      <c r="P86" s="2023"/>
      <c r="Q86" s="2023"/>
      <c r="R86" s="2023"/>
      <c r="S86" s="2023"/>
      <c r="T86" s="2023"/>
      <c r="U86" s="2023"/>
      <c r="V86" s="2023"/>
    </row>
    <row r="87" spans="1:26" s="1249" customFormat="1" ht="14.25" customHeight="1">
      <c r="A87" s="1304"/>
      <c r="B87" s="1305"/>
      <c r="C87" s="1306"/>
      <c r="D87" s="1307"/>
      <c r="E87" s="1308"/>
      <c r="F87" s="42"/>
      <c r="G87" s="42"/>
      <c r="H87" s="998"/>
      <c r="I87" s="309"/>
      <c r="J87" s="2023"/>
      <c r="K87" s="3370"/>
      <c r="L87" s="3085" t="s">
        <v>2880</v>
      </c>
      <c r="M87" s="3075">
        <f ca="1">IF(N69&gt;=10000,(8.25+(N69-10000)*0.01%),IF(AND(N69&gt;=8000,N69&lt;10000),(7.85+(N69-8000)*0.02%),IF(AND(N69&gt;=5000,N69&lt;8000),(6.65+(N69-5000)*0.04%),IF(AND(N69&gt;=2000,N69&lt;5000),(4.25+(PN69-2000)*0.08%),IF(AND(N69&gt;=1000,N69&lt;2000),(2.75+(N69-1000)*0.15%),IF(AND(N69&gt;=100,N69&lt;1000),(0.5+(N69-100)*0.25%),IF(AND(N69&gt;0,N69&lt;100),N69*0.5%)))))))</f>
        <v>65.424800000000005</v>
      </c>
      <c r="N87" s="53">
        <f ca="1">ROUND(M87*0.9,1)</f>
        <v>58.9</v>
      </c>
      <c r="O87" s="3078"/>
      <c r="P87" s="309"/>
      <c r="Q87" s="2023"/>
      <c r="R87" s="2023"/>
      <c r="S87" s="2023"/>
      <c r="T87" s="2023"/>
      <c r="U87" s="2023"/>
      <c r="V87" s="2023"/>
      <c r="W87" s="287"/>
      <c r="X87" s="287"/>
      <c r="Y87" s="287"/>
      <c r="Z87" s="287"/>
    </row>
    <row r="88" spans="1:26" s="1309" customFormat="1" ht="15" thickBot="1">
      <c r="A88" s="3424" t="s">
        <v>430</v>
      </c>
      <c r="B88" s="3425"/>
      <c r="C88" s="3425"/>
      <c r="D88" s="3425"/>
      <c r="E88" s="3425"/>
      <c r="F88" s="3425"/>
      <c r="G88" s="3425"/>
      <c r="H88" s="3425"/>
      <c r="I88" s="1310"/>
      <c r="J88" s="2031"/>
      <c r="K88" s="3370"/>
      <c r="L88" s="3085" t="s">
        <v>2881</v>
      </c>
      <c r="M88" s="3075">
        <f ca="1">IF(N69&gt;10000,N69*0.5%,IF(AND(N69&gt;5000,N69&lt;=10000),N69*1%,IF(AND(N69&gt;1000,N69&lt;=5000),N69*2%,IF(AND(N69&gt;200,N69&lt;=1000),N69*3%,N69*5%))))</f>
        <v>2908.7400000000002</v>
      </c>
      <c r="N88" s="53">
        <f ca="1">ROUND(M88,1)</f>
        <v>2908.7</v>
      </c>
      <c r="O88" s="3078"/>
      <c r="P88" s="11"/>
      <c r="Q88" s="2028"/>
      <c r="R88" s="2028"/>
      <c r="S88" s="2028"/>
      <c r="T88" s="2028"/>
      <c r="U88" s="2028"/>
      <c r="V88" s="2028"/>
      <c r="W88" s="2032"/>
      <c r="X88" s="2032"/>
      <c r="Y88" s="2032"/>
      <c r="Z88" s="2032"/>
    </row>
    <row r="89" spans="1:26" s="1309" customFormat="1" ht="14.25">
      <c r="A89" s="3388" t="s">
        <v>421</v>
      </c>
      <c r="B89" s="3389"/>
      <c r="C89" s="989"/>
      <c r="D89" s="989" t="s">
        <v>422</v>
      </c>
      <c r="E89" s="389" t="s">
        <v>431</v>
      </c>
      <c r="F89" s="390"/>
      <c r="G89" s="390"/>
      <c r="H89" s="391"/>
      <c r="I89" s="1311"/>
      <c r="J89" s="2033"/>
      <c r="K89" s="3370"/>
      <c r="L89" s="3085" t="s">
        <v>27</v>
      </c>
      <c r="M89" s="3076"/>
      <c r="N89" s="53">
        <f ca="1">ROUND(SUM(N83:N88),0)</f>
        <v>9367</v>
      </c>
      <c r="O89" s="3086">
        <f ca="1">N89/N69</f>
        <v>1.610147349023976E-2</v>
      </c>
      <c r="P89" s="2028"/>
      <c r="Q89" s="2028"/>
      <c r="R89" s="2028"/>
      <c r="S89" s="2028"/>
      <c r="T89" s="2028"/>
      <c r="U89" s="2028"/>
      <c r="V89" s="2028"/>
      <c r="W89" s="2032"/>
      <c r="X89" s="2032"/>
      <c r="Y89" s="2032"/>
      <c r="Z89" s="2032"/>
    </row>
    <row r="90" spans="1:26" s="1309" customFormat="1" ht="14.25">
      <c r="A90" s="379" t="s">
        <v>1817</v>
      </c>
      <c r="B90" s="380" t="s">
        <v>432</v>
      </c>
      <c r="C90" s="383">
        <f ca="1">ROUND(D63/(1+'数据-取费表'!C42),0)</f>
        <v>332428</v>
      </c>
      <c r="D90" s="376" t="s">
        <v>19</v>
      </c>
      <c r="E90" s="986"/>
      <c r="F90" s="985"/>
      <c r="G90" s="985"/>
      <c r="H90" s="392"/>
      <c r="I90" s="1311"/>
      <c r="J90" s="2033"/>
      <c r="K90" s="2028"/>
      <c r="L90" s="2028"/>
      <c r="M90" s="2028"/>
      <c r="N90" s="2028"/>
      <c r="O90" s="2028"/>
      <c r="P90" s="2028"/>
      <c r="Q90" s="2028"/>
      <c r="R90" s="2028"/>
      <c r="S90" s="2028"/>
      <c r="T90" s="2028"/>
      <c r="U90" s="2028"/>
      <c r="V90" s="2028"/>
      <c r="W90" s="2032"/>
      <c r="X90" s="2032"/>
      <c r="Y90" s="2032"/>
      <c r="Z90" s="2032"/>
    </row>
    <row r="91" spans="1:26" s="1309" customFormat="1" ht="14.25">
      <c r="A91" s="379" t="s">
        <v>1823</v>
      </c>
      <c r="B91" s="346" t="s">
        <v>433</v>
      </c>
      <c r="C91" s="383">
        <f ca="1">C92+C96</f>
        <v>4556</v>
      </c>
      <c r="D91" s="376" t="s">
        <v>19</v>
      </c>
      <c r="E91" s="986"/>
      <c r="F91" s="985"/>
      <c r="G91" s="985"/>
      <c r="H91" s="392"/>
      <c r="I91" s="1311"/>
      <c r="J91" s="2033"/>
      <c r="K91" s="2028"/>
      <c r="L91" s="2028"/>
      <c r="M91" s="2028"/>
      <c r="N91" s="2028"/>
      <c r="O91" s="2028"/>
      <c r="P91" s="2028"/>
      <c r="Q91" s="2028"/>
      <c r="R91" s="2028"/>
      <c r="S91" s="2028"/>
      <c r="T91" s="2028"/>
      <c r="U91" s="2028"/>
      <c r="V91" s="2028"/>
      <c r="W91" s="2032"/>
      <c r="X91" s="2032"/>
      <c r="Y91" s="2032"/>
      <c r="Z91" s="2032"/>
    </row>
    <row r="92" spans="1:26" s="1309" customFormat="1" ht="24">
      <c r="A92" s="393" t="s">
        <v>1824</v>
      </c>
      <c r="B92" s="374" t="s">
        <v>434</v>
      </c>
      <c r="C92" s="376">
        <f>ROUND(IF(G95="2016年5月1日后购买",C93/(1+'数据-取费表'!C30)+C94+C95,C93+C94+C95),0)</f>
        <v>2561</v>
      </c>
      <c r="D92" s="376" t="s">
        <v>19</v>
      </c>
      <c r="E92" s="986"/>
      <c r="F92" s="985"/>
      <c r="G92" s="985"/>
      <c r="H92" s="392"/>
      <c r="I92" s="1311"/>
      <c r="J92" s="2033"/>
      <c r="K92" s="2028"/>
      <c r="L92" s="2028"/>
      <c r="M92" s="2028"/>
      <c r="N92" s="2028"/>
      <c r="O92" s="2028"/>
      <c r="P92" s="2028"/>
      <c r="Q92" s="2028"/>
      <c r="R92" s="2028"/>
      <c r="S92" s="2028"/>
      <c r="T92" s="2028"/>
      <c r="U92" s="2028"/>
      <c r="V92" s="2028"/>
      <c r="W92" s="2032"/>
      <c r="X92" s="2032"/>
      <c r="Y92" s="2032"/>
      <c r="Z92" s="2032"/>
    </row>
    <row r="93" spans="1:26" s="1309" customFormat="1" ht="14.25">
      <c r="A93" s="393" t="s">
        <v>1825</v>
      </c>
      <c r="B93" s="374" t="s">
        <v>435</v>
      </c>
      <c r="C93" s="394">
        <v>2000</v>
      </c>
      <c r="D93" s="376" t="s">
        <v>19</v>
      </c>
      <c r="E93" s="395" t="s">
        <v>436</v>
      </c>
      <c r="F93" s="396" t="s">
        <v>437</v>
      </c>
      <c r="G93" s="395" t="s">
        <v>438</v>
      </c>
      <c r="H93" s="397">
        <v>5</v>
      </c>
      <c r="I93" s="11"/>
      <c r="J93" s="2028"/>
      <c r="K93" s="2028"/>
      <c r="L93" s="2028"/>
      <c r="M93" s="2028"/>
      <c r="N93" s="2028"/>
      <c r="O93" s="2028"/>
      <c r="P93" s="2028"/>
      <c r="Q93" s="2028"/>
      <c r="R93" s="2028"/>
      <c r="S93" s="2028"/>
      <c r="T93" s="2028"/>
      <c r="U93" s="2028"/>
      <c r="V93" s="2028"/>
      <c r="W93" s="2032"/>
      <c r="X93" s="2032"/>
      <c r="Y93" s="2032"/>
      <c r="Z93" s="2032"/>
    </row>
    <row r="94" spans="1:26" s="1309" customFormat="1" ht="24.75" customHeight="1">
      <c r="A94" s="393" t="s">
        <v>1826</v>
      </c>
      <c r="B94" s="398" t="s">
        <v>439</v>
      </c>
      <c r="C94" s="376">
        <f>IF(F93="购房发票",ROUND(C93*H93*5%,0),0)</f>
        <v>500</v>
      </c>
      <c r="D94" s="399">
        <v>0.05</v>
      </c>
      <c r="E94" s="3421" t="s">
        <v>440</v>
      </c>
      <c r="F94" s="3422"/>
      <c r="G94" s="3422"/>
      <c r="H94" s="3423"/>
      <c r="I94" s="1311"/>
      <c r="J94" s="2033"/>
      <c r="K94" s="2028"/>
      <c r="L94" s="2028"/>
      <c r="M94" s="2028"/>
      <c r="N94" s="2028"/>
      <c r="O94" s="2028"/>
      <c r="P94" s="2028"/>
      <c r="Q94" s="2028"/>
      <c r="R94" s="2028"/>
      <c r="S94" s="2028"/>
      <c r="T94" s="2028"/>
      <c r="U94" s="2028"/>
      <c r="V94" s="2028"/>
      <c r="W94" s="2032"/>
      <c r="X94" s="2032"/>
      <c r="Y94" s="2032"/>
      <c r="Z94" s="2032"/>
    </row>
    <row r="95" spans="1:26" s="1309" customFormat="1" ht="24.75" customHeight="1">
      <c r="A95" s="393" t="s">
        <v>1827</v>
      </c>
      <c r="B95" s="374" t="s">
        <v>441</v>
      </c>
      <c r="C95" s="376">
        <f>ROUND(IF(G95="个人买卖住房",0,IF(G95="2016年5月1日前购买",C93*D95,C93*D95/(1+'数据-取费表'!C42))),0)</f>
        <v>61</v>
      </c>
      <c r="D95" s="400">
        <f>'数据-取费表'!B48+'数据-取费表'!B49</f>
        <v>3.0499999999999999E-2</v>
      </c>
      <c r="E95" s="26" t="s">
        <v>442</v>
      </c>
      <c r="F95" s="401"/>
      <c r="G95" s="402" t="s">
        <v>2424</v>
      </c>
      <c r="H95" s="994" t="str">
        <f>IF(G95="个人买卖住房","免征印花税"," ")</f>
        <v xml:space="preserve"> </v>
      </c>
      <c r="I95" s="1311"/>
      <c r="J95" s="2033"/>
      <c r="K95" s="2028"/>
      <c r="L95" s="2028"/>
      <c r="M95" s="2028"/>
      <c r="N95" s="2028"/>
      <c r="O95" s="2028"/>
      <c r="P95" s="2028"/>
      <c r="Q95" s="2028"/>
      <c r="R95" s="2028"/>
      <c r="S95" s="2028"/>
      <c r="T95" s="2028"/>
      <c r="U95" s="2028"/>
      <c r="V95" s="2028"/>
      <c r="W95" s="2032"/>
      <c r="X95" s="2032"/>
      <c r="Y95" s="2032"/>
      <c r="Z95" s="2032"/>
    </row>
    <row r="96" spans="1:26" s="1309" customFormat="1" ht="24.75" customHeight="1">
      <c r="A96" s="393" t="s">
        <v>1828</v>
      </c>
      <c r="B96" s="374" t="s">
        <v>443</v>
      </c>
      <c r="C96" s="403">
        <f ca="1">ROUND(D63*D96/(1+'数据-取费表'!C42),0)</f>
        <v>1995</v>
      </c>
      <c r="D96" s="404">
        <f>'数据-取费表'!B43</f>
        <v>6.000000000000001E-3</v>
      </c>
      <c r="E96" s="3411" t="s">
        <v>2423</v>
      </c>
      <c r="F96" s="3412"/>
      <c r="G96" s="3412"/>
      <c r="H96" s="3413"/>
      <c r="I96" s="1312"/>
      <c r="J96" s="2034"/>
      <c r="K96" s="2028"/>
      <c r="L96" s="2028"/>
      <c r="M96" s="2028"/>
      <c r="N96" s="2028"/>
      <c r="O96" s="2028"/>
      <c r="P96" s="2028"/>
      <c r="Q96" s="2028"/>
      <c r="R96" s="2028"/>
      <c r="S96" s="2028"/>
      <c r="T96" s="2028"/>
      <c r="U96" s="2028"/>
      <c r="V96" s="2028"/>
      <c r="W96" s="2032"/>
      <c r="X96" s="2032"/>
      <c r="Y96" s="2032"/>
      <c r="Z96" s="2032"/>
    </row>
    <row r="97" spans="1:26" s="1309" customFormat="1" ht="14.25">
      <c r="A97" s="1612" t="s">
        <v>1829</v>
      </c>
      <c r="B97" s="380" t="s">
        <v>444</v>
      </c>
      <c r="C97" s="383">
        <f ca="1">C90-C91</f>
        <v>327872</v>
      </c>
      <c r="D97" s="376" t="s">
        <v>19</v>
      </c>
      <c r="E97" s="986"/>
      <c r="F97" s="985"/>
      <c r="G97" s="985"/>
      <c r="H97" s="392"/>
      <c r="I97" s="1311"/>
      <c r="J97" s="2033"/>
      <c r="K97" s="2028"/>
      <c r="L97" s="2028"/>
      <c r="M97" s="2028"/>
      <c r="N97" s="2028"/>
      <c r="O97" s="2028"/>
      <c r="P97" s="2028"/>
      <c r="Q97" s="2028"/>
      <c r="R97" s="2028"/>
      <c r="S97" s="2028"/>
      <c r="T97" s="2028"/>
      <c r="U97" s="2028"/>
      <c r="V97" s="2028"/>
      <c r="W97" s="2032"/>
      <c r="X97" s="2032"/>
      <c r="Y97" s="2032"/>
      <c r="Z97" s="2032"/>
    </row>
    <row r="98" spans="1:26" s="1309" customFormat="1" ht="24">
      <c r="A98" s="1612" t="s">
        <v>1830</v>
      </c>
      <c r="B98" s="380" t="s">
        <v>445</v>
      </c>
      <c r="C98" s="405">
        <f ca="1">IF(C97&lt;=0,0,C97/C91)</f>
        <v>71.964881474978057</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5"/>
      <c r="G98" s="985"/>
      <c r="H98" s="392"/>
      <c r="I98" s="1311"/>
      <c r="J98" s="2033"/>
      <c r="K98" s="2028"/>
      <c r="L98" s="2028"/>
      <c r="M98" s="2028"/>
      <c r="N98" s="2028"/>
      <c r="O98" s="2028"/>
      <c r="P98" s="2028"/>
      <c r="Q98" s="2028"/>
      <c r="R98" s="2028"/>
      <c r="S98" s="2028"/>
      <c r="T98" s="2028"/>
      <c r="U98" s="2028"/>
      <c r="V98" s="2028"/>
      <c r="W98" s="2032"/>
      <c r="X98" s="2032"/>
      <c r="Y98" s="2032"/>
      <c r="Z98" s="2032"/>
    </row>
    <row r="99" spans="1:26" s="1309" customFormat="1" ht="24.75" thickBot="1">
      <c r="A99" s="1613" t="s">
        <v>1831</v>
      </c>
      <c r="B99" s="385" t="s">
        <v>446</v>
      </c>
      <c r="C99" s="406">
        <f ca="1">ROUND(IF(C97&lt;=0,0,IF(C98&gt;=200%,C97*60%-C91*35%,IF(C98&gt;=100%,C97*50%-C91*15%,IF(C98&gt;=50%,C97*40%-C91*5%,IF(C98&lt;50%,C97*30%,0))))),0)</f>
        <v>195129</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1"/>
      <c r="J99" s="2033"/>
      <c r="K99" s="2028"/>
      <c r="L99" s="2028"/>
      <c r="M99" s="2028"/>
      <c r="N99" s="2028"/>
      <c r="O99" s="2028"/>
      <c r="P99" s="2028"/>
      <c r="Q99" s="2028"/>
      <c r="R99" s="2028"/>
      <c r="S99" s="2028"/>
      <c r="T99" s="2028"/>
      <c r="U99" s="2028"/>
      <c r="V99" s="2028"/>
      <c r="W99" s="2032"/>
      <c r="X99" s="2032"/>
      <c r="Y99" s="2032"/>
      <c r="Z99" s="2032"/>
    </row>
    <row r="100" spans="1:26" s="1309" customFormat="1" ht="7.5" customHeight="1">
      <c r="A100" s="1313"/>
      <c r="B100" s="1314"/>
      <c r="C100" s="11"/>
      <c r="D100" s="11"/>
      <c r="E100" s="1314"/>
      <c r="F100" s="1314"/>
      <c r="G100" s="1314"/>
      <c r="H100" s="1315"/>
      <c r="I100" s="1312"/>
      <c r="J100" s="2034"/>
      <c r="K100" s="2028"/>
      <c r="L100" s="2028"/>
      <c r="M100" s="2028"/>
      <c r="N100" s="2028"/>
      <c r="O100" s="2028"/>
      <c r="P100" s="2028"/>
      <c r="Q100" s="2028"/>
      <c r="R100" s="2028"/>
      <c r="S100" s="2028"/>
      <c r="T100" s="2028"/>
      <c r="U100" s="2028"/>
      <c r="V100" s="2028"/>
      <c r="W100" s="2032"/>
      <c r="X100" s="2032"/>
      <c r="Y100" s="2032"/>
      <c r="Z100" s="2032"/>
    </row>
    <row r="101" spans="1:26" s="1309" customFormat="1" ht="15" thickBot="1">
      <c r="A101" s="3424" t="s">
        <v>447</v>
      </c>
      <c r="B101" s="3425"/>
      <c r="C101" s="3425"/>
      <c r="D101" s="3425"/>
      <c r="E101" s="3425"/>
      <c r="F101" s="3425"/>
      <c r="G101" s="3425"/>
      <c r="H101" s="3425"/>
      <c r="I101" s="11"/>
      <c r="J101" s="2028"/>
      <c r="K101" s="2028"/>
      <c r="L101" s="2028"/>
      <c r="M101" s="2028"/>
      <c r="N101" s="2028"/>
      <c r="O101" s="2028"/>
      <c r="P101" s="2028"/>
      <c r="Q101" s="2028"/>
      <c r="R101" s="2028"/>
      <c r="S101" s="2028"/>
      <c r="T101" s="2028"/>
      <c r="U101" s="2028"/>
      <c r="V101" s="2028"/>
      <c r="W101" s="2032"/>
      <c r="X101" s="2032"/>
      <c r="Y101" s="2032"/>
      <c r="Z101" s="2032"/>
    </row>
    <row r="102" spans="1:26" s="1309" customFormat="1" ht="14.25">
      <c r="A102" s="3388" t="s">
        <v>421</v>
      </c>
      <c r="B102" s="3389"/>
      <c r="C102" s="989"/>
      <c r="D102" s="989" t="s">
        <v>422</v>
      </c>
      <c r="E102" s="389" t="s">
        <v>431</v>
      </c>
      <c r="F102" s="390"/>
      <c r="G102" s="390"/>
      <c r="H102" s="411"/>
      <c r="I102" s="11"/>
      <c r="J102" s="2028"/>
      <c r="K102" s="2028"/>
      <c r="L102" s="2028"/>
      <c r="M102" s="2028"/>
      <c r="N102" s="2028"/>
      <c r="O102" s="2028"/>
      <c r="P102" s="2028"/>
      <c r="Q102" s="2028"/>
      <c r="R102" s="2028"/>
      <c r="S102" s="2028"/>
      <c r="T102" s="2028"/>
      <c r="U102" s="2028"/>
      <c r="V102" s="2028"/>
      <c r="W102" s="2032"/>
      <c r="X102" s="2032"/>
      <c r="Y102" s="2032"/>
      <c r="Z102" s="2032"/>
    </row>
    <row r="103" spans="1:26" s="1309" customFormat="1" ht="14.25">
      <c r="A103" s="379" t="s">
        <v>1817</v>
      </c>
      <c r="B103" s="380" t="s">
        <v>432</v>
      </c>
      <c r="C103" s="383">
        <f ca="1">ROUND(D63/(1+'数据-取费表'!C42),0)</f>
        <v>332428</v>
      </c>
      <c r="D103" s="376" t="s">
        <v>19</v>
      </c>
      <c r="E103" s="986"/>
      <c r="F103" s="985"/>
      <c r="G103" s="985"/>
      <c r="H103" s="412"/>
      <c r="I103" s="11"/>
      <c r="J103" s="2028"/>
      <c r="K103" s="2028"/>
      <c r="L103" s="2028"/>
      <c r="M103" s="2028"/>
      <c r="N103" s="2028"/>
      <c r="O103" s="2028"/>
      <c r="P103" s="2028"/>
      <c r="Q103" s="2028"/>
      <c r="R103" s="2028"/>
      <c r="S103" s="2028"/>
      <c r="T103" s="2028"/>
      <c r="U103" s="2028"/>
      <c r="V103" s="2028"/>
      <c r="W103" s="2032"/>
      <c r="X103" s="2032"/>
      <c r="Y103" s="2032"/>
      <c r="Z103" s="2032"/>
    </row>
    <row r="104" spans="1:26" s="1309" customFormat="1" ht="14.25">
      <c r="A104" s="379" t="s">
        <v>1823</v>
      </c>
      <c r="B104" s="346" t="s">
        <v>433</v>
      </c>
      <c r="C104" s="383">
        <f ca="1">IF(H106="仅含出让金",C105+C108+C109+C110+C111+C112,C105+C109+C110+C111+C112)</f>
        <v>2685</v>
      </c>
      <c r="D104" s="413"/>
      <c r="E104" s="986"/>
      <c r="F104" s="985"/>
      <c r="G104" s="985"/>
      <c r="H104" s="412"/>
      <c r="I104" s="11"/>
      <c r="J104" s="2028"/>
      <c r="K104" s="2028"/>
      <c r="L104" s="2028"/>
      <c r="M104" s="2028"/>
      <c r="N104" s="2028"/>
      <c r="O104" s="2028"/>
      <c r="P104" s="2028"/>
      <c r="Q104" s="2028"/>
      <c r="R104" s="2028"/>
      <c r="S104" s="2028"/>
      <c r="T104" s="2028"/>
      <c r="U104" s="2028"/>
      <c r="V104" s="2028"/>
      <c r="W104" s="2032"/>
      <c r="X104" s="2032"/>
      <c r="Y104" s="2032"/>
      <c r="Z104" s="2032"/>
    </row>
    <row r="105" spans="1:26" s="1309" customFormat="1" ht="14.25">
      <c r="A105" s="393" t="s">
        <v>1824</v>
      </c>
      <c r="B105" s="374" t="s">
        <v>448</v>
      </c>
      <c r="C105" s="403">
        <f>C106+C107</f>
        <v>572</v>
      </c>
      <c r="D105" s="404"/>
      <c r="E105" s="980"/>
      <c r="F105" s="981"/>
      <c r="G105" s="981"/>
      <c r="H105" s="982"/>
      <c r="I105" s="11"/>
      <c r="J105" s="2028"/>
      <c r="K105" s="2028"/>
      <c r="L105" s="2028"/>
      <c r="M105" s="2028"/>
      <c r="N105" s="2028"/>
      <c r="O105" s="2028"/>
      <c r="P105" s="2028"/>
      <c r="Q105" s="2028"/>
      <c r="R105" s="2028"/>
      <c r="S105" s="2028"/>
      <c r="T105" s="2028"/>
      <c r="U105" s="2028"/>
      <c r="V105" s="2028"/>
      <c r="W105" s="2032"/>
      <c r="X105" s="2032"/>
      <c r="Y105" s="2032"/>
      <c r="Z105" s="2032"/>
    </row>
    <row r="106" spans="1:26" s="1309" customFormat="1" ht="14.25">
      <c r="A106" s="393" t="s">
        <v>1825</v>
      </c>
      <c r="B106" s="374" t="s">
        <v>449</v>
      </c>
      <c r="C106" s="414">
        <v>555</v>
      </c>
      <c r="D106" s="404"/>
      <c r="E106" s="415" t="s">
        <v>450</v>
      </c>
      <c r="F106" s="981"/>
      <c r="G106" s="416" t="s">
        <v>451</v>
      </c>
      <c r="H106" s="417" t="s">
        <v>2434</v>
      </c>
      <c r="I106" s="11"/>
      <c r="J106" s="2028"/>
      <c r="K106" s="2028"/>
      <c r="L106" s="2028"/>
      <c r="M106" s="2028"/>
      <c r="N106" s="2028"/>
      <c r="O106" s="2028"/>
      <c r="P106" s="2028"/>
      <c r="Q106" s="2028"/>
      <c r="R106" s="2028"/>
      <c r="S106" s="2028"/>
      <c r="T106" s="2028"/>
      <c r="U106" s="2028"/>
      <c r="V106" s="2028"/>
      <c r="W106" s="2032"/>
      <c r="X106" s="2032"/>
      <c r="Y106" s="2032"/>
      <c r="Z106" s="2032"/>
    </row>
    <row r="107" spans="1:26" s="1309" customFormat="1" ht="14.25">
      <c r="A107" s="393" t="s">
        <v>1826</v>
      </c>
      <c r="B107" s="374" t="s">
        <v>441</v>
      </c>
      <c r="C107" s="403">
        <f>ROUND(C106*D107,0)</f>
        <v>17</v>
      </c>
      <c r="D107" s="404">
        <f>'数据-取费表'!B48+'数据-取费表'!B49</f>
        <v>3.0499999999999999E-2</v>
      </c>
      <c r="E107" s="415" t="s">
        <v>452</v>
      </c>
      <c r="F107" s="981"/>
      <c r="G107" s="981"/>
      <c r="H107" s="982"/>
      <c r="I107" s="11"/>
      <c r="J107" s="2028"/>
      <c r="K107" s="2028"/>
      <c r="L107" s="2028"/>
      <c r="M107" s="2028"/>
      <c r="N107" s="2028"/>
      <c r="O107" s="2028"/>
      <c r="P107" s="2028"/>
      <c r="Q107" s="2028"/>
      <c r="R107" s="2028"/>
      <c r="S107" s="2028"/>
      <c r="T107" s="2028"/>
      <c r="U107" s="2028"/>
      <c r="V107" s="2028"/>
      <c r="W107" s="2032"/>
      <c r="X107" s="2032"/>
      <c r="Y107" s="2032"/>
      <c r="Z107" s="2032"/>
    </row>
    <row r="108" spans="1:26" s="1309" customFormat="1" ht="14.25">
      <c r="A108" s="393" t="s">
        <v>1828</v>
      </c>
      <c r="B108" s="374" t="s">
        <v>453</v>
      </c>
      <c r="C108" s="414"/>
      <c r="D108" s="404"/>
      <c r="E108" s="415" t="str">
        <f>IF(H106="-","土地取得成本中已包含该笔费用"," ")</f>
        <v xml:space="preserve"> </v>
      </c>
      <c r="F108" s="981"/>
      <c r="G108" s="981"/>
      <c r="H108" s="982"/>
      <c r="I108" s="11"/>
      <c r="J108" s="2028"/>
      <c r="K108" s="2028"/>
      <c r="L108" s="2028"/>
      <c r="M108" s="2028"/>
      <c r="N108" s="2028"/>
      <c r="O108" s="2028"/>
      <c r="P108" s="2028"/>
      <c r="Q108" s="2028"/>
      <c r="R108" s="2028"/>
      <c r="S108" s="2028"/>
      <c r="T108" s="2028"/>
      <c r="U108" s="2028"/>
      <c r="V108" s="2028"/>
      <c r="W108" s="2032"/>
      <c r="X108" s="2032"/>
      <c r="Y108" s="2032"/>
      <c r="Z108" s="2032"/>
    </row>
    <row r="109" spans="1:26" s="1309" customFormat="1" ht="24" customHeight="1">
      <c r="A109" s="1614" t="s">
        <v>1832</v>
      </c>
      <c r="B109" s="374" t="s">
        <v>454</v>
      </c>
      <c r="C109" s="403">
        <f>IF(H109="——",IF(F1="现房",'剩余法-现房'!C18,'剩余法-待开发'!C18),I109)</f>
        <v>55</v>
      </c>
      <c r="D109" s="404"/>
      <c r="E109" s="3414" t="s">
        <v>455</v>
      </c>
      <c r="F109" s="3412"/>
      <c r="G109" s="3412"/>
      <c r="H109" s="1936" t="s">
        <v>2274</v>
      </c>
      <c r="I109" s="1937">
        <v>55</v>
      </c>
      <c r="J109" s="2028"/>
      <c r="K109" s="2028"/>
      <c r="L109" s="2028"/>
      <c r="M109" s="2028"/>
      <c r="N109" s="2028"/>
      <c r="O109" s="2028"/>
      <c r="P109" s="2028"/>
      <c r="Q109" s="2028"/>
      <c r="R109" s="2028"/>
      <c r="S109" s="2028"/>
      <c r="T109" s="2028"/>
      <c r="U109" s="2028"/>
      <c r="V109" s="2028"/>
      <c r="W109" s="2032"/>
      <c r="X109" s="2032"/>
      <c r="Y109" s="2032"/>
      <c r="Z109" s="2032"/>
    </row>
    <row r="110" spans="1:26" s="1309" customFormat="1" ht="25.5" customHeight="1">
      <c r="A110" s="1614" t="s">
        <v>1833</v>
      </c>
      <c r="B110" s="374" t="s">
        <v>456</v>
      </c>
      <c r="C110" s="403">
        <f>ROUND((C105+C108+C109)*D110,0)</f>
        <v>63</v>
      </c>
      <c r="D110" s="404">
        <v>0.1</v>
      </c>
      <c r="E110" s="3414" t="s">
        <v>457</v>
      </c>
      <c r="F110" s="3412"/>
      <c r="G110" s="3412"/>
      <c r="H110" s="3413"/>
      <c r="I110" s="11"/>
      <c r="J110" s="2028"/>
      <c r="K110" s="2028"/>
      <c r="L110" s="2028"/>
      <c r="M110" s="2028"/>
      <c r="N110" s="2028"/>
      <c r="O110" s="2028"/>
      <c r="P110" s="2028"/>
      <c r="Q110" s="2028"/>
      <c r="R110" s="2028"/>
      <c r="S110" s="2028"/>
      <c r="T110" s="2028"/>
      <c r="U110" s="2028"/>
      <c r="V110" s="2028"/>
      <c r="W110" s="2032"/>
      <c r="X110" s="2032"/>
      <c r="Y110" s="2032"/>
      <c r="Z110" s="2032"/>
    </row>
    <row r="111" spans="1:26" s="1309" customFormat="1" ht="25.5" customHeight="1">
      <c r="A111" s="1614" t="s">
        <v>1834</v>
      </c>
      <c r="B111" s="374" t="s">
        <v>443</v>
      </c>
      <c r="C111" s="403">
        <f ca="1">ROUND(D63*D111/(1+'数据-取费表'!C42),0)</f>
        <v>1995</v>
      </c>
      <c r="D111" s="404">
        <f>'数据-取费表'!B43</f>
        <v>6.000000000000001E-3</v>
      </c>
      <c r="E111" s="3411" t="s">
        <v>2423</v>
      </c>
      <c r="F111" s="3412"/>
      <c r="G111" s="3412"/>
      <c r="H111" s="3413"/>
      <c r="I111" s="11"/>
      <c r="J111" s="2028"/>
      <c r="K111" s="2028"/>
      <c r="L111" s="2028"/>
      <c r="M111" s="2028"/>
      <c r="N111" s="2028"/>
      <c r="O111" s="2028"/>
      <c r="P111" s="2028"/>
      <c r="Q111" s="2028"/>
      <c r="R111" s="2028"/>
      <c r="S111" s="2028"/>
      <c r="T111" s="2028"/>
      <c r="U111" s="2028"/>
      <c r="V111" s="2028"/>
      <c r="W111" s="2032"/>
      <c r="X111" s="2032"/>
      <c r="Y111" s="2032"/>
      <c r="Z111" s="2032"/>
    </row>
    <row r="112" spans="1:26" s="1309" customFormat="1" ht="25.5" customHeight="1">
      <c r="A112" s="1614" t="s">
        <v>1835</v>
      </c>
      <c r="B112" s="374" t="s">
        <v>458</v>
      </c>
      <c r="C112" s="403">
        <f>ROUND(C108*D112,0)</f>
        <v>0</v>
      </c>
      <c r="D112" s="404">
        <v>0.2</v>
      </c>
      <c r="E112" s="3414" t="s">
        <v>2448</v>
      </c>
      <c r="F112" s="3412"/>
      <c r="G112" s="3412"/>
      <c r="H112" s="3413"/>
      <c r="I112" s="11"/>
      <c r="J112" s="2028"/>
      <c r="K112" s="2028"/>
      <c r="L112" s="2028"/>
      <c r="M112" s="2028"/>
      <c r="N112" s="2028"/>
      <c r="O112" s="2028"/>
      <c r="P112" s="2028"/>
      <c r="Q112" s="2028"/>
      <c r="R112" s="2028"/>
      <c r="S112" s="2028"/>
      <c r="T112" s="2028"/>
      <c r="U112" s="2028"/>
      <c r="V112" s="2028"/>
      <c r="W112" s="2032"/>
      <c r="X112" s="2032"/>
      <c r="Y112" s="2032"/>
      <c r="Z112" s="2032"/>
    </row>
    <row r="113" spans="1:26" s="1309" customFormat="1" ht="14.25">
      <c r="A113" s="1612" t="s">
        <v>1829</v>
      </c>
      <c r="B113" s="380" t="s">
        <v>444</v>
      </c>
      <c r="C113" s="383">
        <f ca="1">ROUND(C103-C104,0)</f>
        <v>329743</v>
      </c>
      <c r="D113" s="376" t="s">
        <v>19</v>
      </c>
      <c r="E113" s="986"/>
      <c r="F113" s="985"/>
      <c r="G113" s="985"/>
      <c r="H113" s="412"/>
      <c r="I113" s="11"/>
      <c r="J113" s="2028"/>
      <c r="K113" s="2028"/>
      <c r="L113" s="2028"/>
      <c r="M113" s="2028"/>
      <c r="N113" s="2028"/>
      <c r="O113" s="2028"/>
      <c r="P113" s="2028"/>
      <c r="Q113" s="2028"/>
      <c r="R113" s="2028"/>
      <c r="S113" s="2028"/>
      <c r="T113" s="2028"/>
      <c r="U113" s="2028"/>
      <c r="V113" s="2028"/>
      <c r="W113" s="2032"/>
      <c r="X113" s="2032"/>
      <c r="Y113" s="2032"/>
      <c r="Z113" s="2032"/>
    </row>
    <row r="114" spans="1:26" s="1309" customFormat="1" ht="24">
      <c r="A114" s="1612" t="s">
        <v>1830</v>
      </c>
      <c r="B114" s="380" t="s">
        <v>445</v>
      </c>
      <c r="C114" s="405">
        <f ca="1">IF(C113&lt;=0,0,C113/C104)</f>
        <v>122.80931098696462</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5"/>
      <c r="G114" s="985"/>
      <c r="H114" s="412"/>
      <c r="I114" s="11"/>
      <c r="J114" s="2028"/>
      <c r="K114" s="2028"/>
      <c r="L114" s="2028"/>
      <c r="M114" s="2028"/>
      <c r="N114" s="2028"/>
      <c r="O114" s="2028"/>
      <c r="P114" s="2028"/>
      <c r="Q114" s="2028"/>
      <c r="R114" s="2028"/>
      <c r="S114" s="2028"/>
      <c r="T114" s="2028"/>
      <c r="U114" s="2028"/>
      <c r="V114" s="2028"/>
      <c r="W114" s="2032"/>
      <c r="X114" s="2032"/>
      <c r="Y114" s="2032"/>
      <c r="Z114" s="2032"/>
    </row>
    <row r="115" spans="1:26" s="1309" customFormat="1" ht="24.75" thickBot="1">
      <c r="A115" s="1613" t="s">
        <v>1831</v>
      </c>
      <c r="B115" s="385" t="s">
        <v>446</v>
      </c>
      <c r="C115" s="406">
        <f ca="1">ROUND(IF(C113&lt;=0,0,IF(C114&gt;=200%,C113*60%-C104*35%,IF(C114&gt;=100%,C113*50%-C104*15%,IF(C114&gt;=50%,C113*40%-C104*5%,IF(C114&lt;50%,C113*30%,0))))),0)</f>
        <v>196906</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28"/>
      <c r="K115" s="2028"/>
      <c r="L115" s="2028"/>
      <c r="M115" s="2028"/>
      <c r="N115" s="2028"/>
      <c r="O115" s="2028"/>
      <c r="P115" s="2028"/>
      <c r="Q115" s="2028"/>
      <c r="R115" s="2028"/>
      <c r="S115" s="2028"/>
      <c r="T115" s="2028"/>
      <c r="U115" s="2028"/>
      <c r="V115" s="2028"/>
      <c r="W115" s="2032"/>
      <c r="X115" s="2032"/>
      <c r="Y115" s="2032"/>
      <c r="Z115" s="2032"/>
    </row>
    <row r="116" spans="1:26" s="2036" customFormat="1" ht="21.75" customHeight="1">
      <c r="J116" s="2035"/>
      <c r="K116" s="2023"/>
      <c r="L116" s="2023"/>
      <c r="M116" s="2023"/>
      <c r="N116" s="2023"/>
      <c r="O116" s="2023"/>
    </row>
    <row r="117" spans="1:26" s="2036" customFormat="1" ht="21.75" customHeight="1">
      <c r="J117" s="2035"/>
    </row>
    <row r="118" spans="1:26" s="2036" customFormat="1" ht="21.75" customHeight="1">
      <c r="J118" s="2035"/>
    </row>
    <row r="119" spans="1:26" s="2036" customFormat="1" ht="21.75" customHeight="1">
      <c r="J119" s="2035"/>
    </row>
    <row r="120" spans="1:26" s="2036" customFormat="1" ht="21.75" customHeight="1">
      <c r="J120" s="2035"/>
    </row>
    <row r="121" spans="1:26" s="2036" customFormat="1" ht="21.75" customHeight="1"/>
    <row r="122" spans="1:26" s="2036" customFormat="1" ht="21.75" customHeight="1">
      <c r="J122" s="2037"/>
    </row>
    <row r="123" spans="1:26" s="2036" customFormat="1" ht="21.75" customHeight="1"/>
    <row r="124" spans="1:26" s="2036" customFormat="1" ht="21.75" customHeight="1"/>
    <row r="125" spans="1:26" s="2036" customFormat="1" ht="21.75" customHeight="1">
      <c r="J125" s="2037"/>
    </row>
    <row r="126" spans="1:26" s="2036" customFormat="1" ht="21.75" customHeight="1"/>
    <row r="127" spans="1:26" s="2036" customFormat="1" ht="21.75" customHeight="1"/>
    <row r="128" spans="1:26" s="2036" customFormat="1" ht="21.75" customHeight="1">
      <c r="J128" s="2037"/>
    </row>
    <row r="129" spans="2:6" s="2036" customFormat="1" ht="21.75" customHeight="1"/>
    <row r="130" spans="2:6" s="2036" customFormat="1" ht="21.75" customHeight="1">
      <c r="B130" s="2038"/>
      <c r="C130" s="2039"/>
      <c r="D130" s="2040"/>
      <c r="E130" s="2040"/>
      <c r="F130" s="2041"/>
    </row>
    <row r="131" spans="2:6" s="2036" customFormat="1" ht="21.75" customHeight="1"/>
    <row r="132" spans="2:6" s="2036" customFormat="1" ht="21.75" customHeight="1"/>
    <row r="133" spans="2:6" s="2036" customFormat="1" ht="21.75" customHeight="1"/>
    <row r="134" spans="2:6" s="2036" customFormat="1" ht="21.75" customHeight="1"/>
    <row r="135" spans="2:6" s="2036" customFormat="1" ht="21.75" customHeight="1"/>
    <row r="136" spans="2:6" s="2036" customFormat="1" ht="21.75" customHeight="1"/>
    <row r="137" spans="2:6" s="2036" customFormat="1" ht="21.75" customHeight="1"/>
    <row r="138" spans="2:6" s="2036" customFormat="1" ht="21.75" customHeight="1"/>
    <row r="139" spans="2:6" s="2036" customFormat="1" ht="21.75" customHeight="1"/>
    <row r="140" spans="2:6" s="2036" customFormat="1" ht="21.75" customHeight="1"/>
    <row r="141" spans="2:6" s="2036" customFormat="1" ht="21.75" customHeight="1"/>
    <row r="142" spans="2:6" s="2036" customFormat="1" ht="21.75" customHeight="1"/>
    <row r="143" spans="2:6" s="2036" customFormat="1" ht="21.75" customHeight="1"/>
    <row r="144" spans="2:6" s="2036" customFormat="1" ht="21.75" customHeight="1"/>
    <row r="145" s="2036" customFormat="1" ht="21.75" customHeight="1"/>
    <row r="146" s="2036" customFormat="1" ht="21.75" customHeight="1"/>
    <row r="147" s="2036" customFormat="1" ht="21.75" customHeight="1"/>
    <row r="148" s="2036" customFormat="1" ht="21.75" customHeight="1"/>
    <row r="149" s="2036" customFormat="1" ht="21.75" customHeight="1"/>
    <row r="150" s="2036" customFormat="1" ht="21.75" customHeight="1"/>
    <row r="151" s="2036" customFormat="1" ht="21.75" customHeight="1"/>
    <row r="152" s="2036" customFormat="1" ht="21.75" customHeight="1"/>
    <row r="153" s="2036" customFormat="1" ht="21.75" customHeight="1"/>
    <row r="154" s="2036" customFormat="1" ht="21.75" customHeight="1"/>
    <row r="155" s="2036" customFormat="1" ht="21.75" customHeight="1"/>
    <row r="156" s="2036" customFormat="1" ht="21.75" customHeight="1"/>
    <row r="157" s="2036" customFormat="1" ht="21.75" customHeight="1"/>
    <row r="158" s="2036" customFormat="1" ht="21.75" customHeight="1"/>
    <row r="159" s="2036" customFormat="1" ht="21.75" customHeight="1"/>
    <row r="160" s="2036" customFormat="1" ht="21.75" customHeight="1"/>
    <row r="161" s="2036" customFormat="1" ht="21.75" customHeight="1"/>
    <row r="162" s="2036" customFormat="1" ht="21.75" customHeight="1"/>
    <row r="163" s="2036" customFormat="1" ht="21.75" customHeight="1"/>
    <row r="164" s="2036" customFormat="1" ht="21.75" customHeight="1"/>
    <row r="165" s="2036" customFormat="1" ht="21.75" customHeight="1"/>
    <row r="166" s="2036" customFormat="1" ht="21.75" customHeight="1"/>
    <row r="167" s="2036" customFormat="1" ht="21.75" customHeight="1"/>
    <row r="168" s="2036" customFormat="1" ht="21.75" customHeight="1"/>
    <row r="169" s="2036" customFormat="1" ht="21.75" customHeight="1"/>
    <row r="170" s="2036" customFormat="1" ht="21.75" customHeight="1"/>
    <row r="171" s="2036" customFormat="1" ht="21.75" customHeight="1"/>
    <row r="172" s="2036" customFormat="1" ht="21.75" customHeight="1"/>
    <row r="173" s="2036" customFormat="1" ht="21.75" customHeight="1"/>
    <row r="174" s="2036" customFormat="1" ht="21.75" customHeight="1"/>
    <row r="175" s="2036" customFormat="1" ht="21.75" customHeight="1"/>
    <row r="176" s="2036" customFormat="1" ht="21.75" customHeight="1"/>
    <row r="177" spans="11:15" s="2036" customFormat="1" ht="21.75" customHeight="1"/>
    <row r="178" spans="11:15" s="2036" customFormat="1" ht="21.75" customHeight="1"/>
    <row r="179" spans="11:15" s="2036" customFormat="1" ht="21.75" customHeight="1"/>
    <row r="180" spans="11:15" s="2036" customFormat="1" ht="21.75" customHeight="1"/>
    <row r="181" spans="11:15" s="2036" customFormat="1" ht="21.75" customHeight="1"/>
    <row r="182" spans="11:15" s="2036" customFormat="1" ht="21.75" customHeight="1"/>
    <row r="183" spans="11:15" s="2036" customFormat="1" ht="21.75" customHeight="1"/>
    <row r="184" spans="11:15" s="2036" customFormat="1" ht="21.75" customHeight="1"/>
    <row r="185" spans="11:15" s="252" customFormat="1" ht="21.75" customHeight="1">
      <c r="K185" s="2036"/>
      <c r="L185" s="2036"/>
      <c r="M185" s="2036"/>
      <c r="N185" s="2036"/>
      <c r="O185" s="2036"/>
    </row>
    <row r="186" spans="11:15" s="252" customFormat="1" ht="21.75" customHeight="1"/>
    <row r="187" spans="11:15" s="252" customFormat="1" ht="21.75" customHeight="1"/>
    <row r="188" spans="11:15" s="252" customFormat="1" ht="21.75" customHeight="1"/>
    <row r="189" spans="11:15" s="252" customFormat="1" ht="21.75" customHeight="1"/>
    <row r="190" spans="11:15" s="252" customFormat="1" ht="21.75" customHeight="1"/>
    <row r="191" spans="11:15" s="252" customFormat="1" ht="21.75" customHeight="1"/>
    <row r="192" spans="11:15" s="252" customFormat="1" ht="21.75" customHeight="1"/>
    <row r="193" s="252" customFormat="1" ht="21.75" customHeight="1"/>
    <row r="194" s="252" customFormat="1" ht="21.75" customHeight="1"/>
    <row r="195" s="252" customFormat="1" ht="21.75" customHeight="1"/>
    <row r="196" s="252" customFormat="1" ht="21.75" customHeight="1"/>
    <row r="197" s="252" customFormat="1" ht="21.75" customHeight="1"/>
    <row r="198" s="252" customFormat="1" ht="21.75" customHeight="1"/>
    <row r="199" s="252" customFormat="1" ht="21.75" customHeight="1"/>
    <row r="200" s="252" customFormat="1" ht="21.75" customHeight="1"/>
    <row r="201" s="252" customFormat="1" ht="21.75" customHeight="1"/>
    <row r="202" s="252" customFormat="1" ht="21.75" customHeight="1"/>
    <row r="203" s="252" customFormat="1" ht="21.75" customHeight="1"/>
    <row r="204" s="252" customFormat="1" ht="21.75" customHeight="1"/>
    <row r="205" s="252" customFormat="1" ht="21.75" customHeight="1"/>
    <row r="206" s="252"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87" priority="21" stopIfTrue="1" operator="equal">
      <formula>25</formula>
    </cfRule>
  </conditionalFormatting>
  <conditionalFormatting sqref="C8:C9">
    <cfRule type="cellIs" dxfId="186" priority="19" stopIfTrue="1" operator="equal">
      <formula>15</formula>
    </cfRule>
  </conditionalFormatting>
  <conditionalFormatting sqref="C14:C16">
    <cfRule type="cellIs" dxfId="185" priority="13" stopIfTrue="1" operator="equal">
      <formula>30</formula>
    </cfRule>
  </conditionalFormatting>
  <conditionalFormatting sqref="D5:D7">
    <cfRule type="cellIs" dxfId="184" priority="10" stopIfTrue="1" operator="equal">
      <formula>25</formula>
    </cfRule>
  </conditionalFormatting>
  <conditionalFormatting sqref="D8:D9">
    <cfRule type="cellIs" dxfId="183" priority="9" stopIfTrue="1" operator="equal">
      <formula>15</formula>
    </cfRule>
  </conditionalFormatting>
  <conditionalFormatting sqref="C10:D13">
    <cfRule type="cellIs" dxfId="182" priority="8" stopIfTrue="1" operator="equal">
      <formula>15</formula>
    </cfRule>
  </conditionalFormatting>
  <conditionalFormatting sqref="D14:D16">
    <cfRule type="cellIs" dxfId="181" priority="6" stopIfTrue="1" operator="equal">
      <formula>30</formula>
    </cfRule>
  </conditionalFormatting>
  <conditionalFormatting sqref="C108">
    <cfRule type="expression" dxfId="180" priority="3" stopIfTrue="1">
      <formula>$H$106&lt;&gt;"仅含出让金"</formula>
    </cfRule>
  </conditionalFormatting>
  <conditionalFormatting sqref="C109">
    <cfRule type="expression" dxfId="179" priority="2" stopIfTrue="1">
      <formula>$H$109="由企业提供"</formula>
    </cfRule>
  </conditionalFormatting>
  <conditionalFormatting sqref="I33">
    <cfRule type="expression" dxfId="178"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Normal="95" zoomScaleSheetLayoutView="100" workbookViewId="0">
      <selection activeCell="E21" sqref="E21"/>
    </sheetView>
  </sheetViews>
  <sheetFormatPr defaultRowHeight="14.25"/>
  <cols>
    <col min="1" max="1" width="15.625" style="1332" customWidth="1"/>
    <col min="2" max="2" width="15.75" style="1332" customWidth="1"/>
    <col min="3" max="3" width="20" style="1332" customWidth="1"/>
    <col min="4" max="4" width="12.25" style="1332" customWidth="1"/>
    <col min="5" max="5" width="19" style="1332" customWidth="1"/>
    <col min="6" max="6" width="12.25" style="1332" customWidth="1"/>
    <col min="7" max="7" width="17.5" style="1332" customWidth="1"/>
    <col min="8" max="8" width="12.25" style="1332" customWidth="1"/>
    <col min="9" max="9" width="18"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0" t="s">
        <v>510</v>
      </c>
      <c r="B1" s="501"/>
      <c r="C1" s="502" t="s">
        <v>511</v>
      </c>
      <c r="D1" s="503" t="s">
        <v>512</v>
      </c>
      <c r="E1" s="504"/>
      <c r="F1" s="426"/>
      <c r="G1" s="504"/>
      <c r="H1" s="504"/>
      <c r="I1" s="504"/>
      <c r="J1" s="504"/>
      <c r="K1" s="505"/>
      <c r="L1" s="1557"/>
      <c r="M1" s="1558"/>
      <c r="N1" s="1558"/>
      <c r="O1" s="1558"/>
      <c r="P1" s="1559"/>
      <c r="Q1" s="1559"/>
      <c r="R1" s="1559"/>
      <c r="S1" s="1559"/>
      <c r="T1" s="1559"/>
      <c r="U1" s="1559"/>
      <c r="V1" s="1559"/>
      <c r="W1" s="1559"/>
      <c r="X1" s="1559"/>
      <c r="Y1" s="1559"/>
      <c r="Z1" s="1559"/>
      <c r="AA1" s="1559"/>
      <c r="AB1" s="1559"/>
      <c r="AC1" s="1560"/>
      <c r="AD1" s="1330"/>
    </row>
    <row r="2" spans="1:30" s="1331" customFormat="1" ht="28.5" customHeight="1">
      <c r="A2" s="421" t="s">
        <v>460</v>
      </c>
      <c r="B2" s="506">
        <f>F68</f>
        <v>578479</v>
      </c>
      <c r="C2" s="2122"/>
      <c r="D2" s="2122"/>
      <c r="E2" s="2123"/>
      <c r="F2" s="2124"/>
      <c r="G2" s="2123"/>
      <c r="H2" s="2123"/>
      <c r="I2" s="2123"/>
      <c r="J2" s="2123"/>
      <c r="K2" s="2125"/>
      <c r="L2" s="2126"/>
      <c r="M2" s="2127"/>
      <c r="N2" s="2127"/>
      <c r="O2" s="2127"/>
      <c r="P2" s="1559"/>
      <c r="Q2" s="1559"/>
      <c r="R2" s="1559"/>
      <c r="S2" s="1559"/>
      <c r="T2" s="1559"/>
      <c r="U2" s="1559"/>
      <c r="V2" s="1559"/>
      <c r="W2" s="1559"/>
      <c r="X2" s="1559"/>
      <c r="Y2" s="1559"/>
      <c r="Z2" s="1559"/>
      <c r="AA2" s="1559"/>
      <c r="AB2" s="1559"/>
      <c r="AC2" s="1560"/>
      <c r="AD2" s="1330"/>
    </row>
    <row r="3" spans="1:30" s="1331" customFormat="1" ht="28.5" customHeight="1">
      <c r="A3" s="1374" t="s">
        <v>1678</v>
      </c>
      <c r="B3" s="508">
        <f>ROUND(B2*10000/'数据-汇总表'!E3,0)</f>
        <v>14015</v>
      </c>
      <c r="C3" s="2056"/>
      <c r="D3" s="2589"/>
      <c r="E3" s="2056"/>
      <c r="F3" s="2056"/>
      <c r="G3" s="2123"/>
      <c r="H3" s="2123"/>
      <c r="I3" s="2123"/>
      <c r="J3" s="2123"/>
      <c r="K3" s="2125"/>
      <c r="L3" s="2126"/>
      <c r="M3" s="2127"/>
      <c r="N3" s="2127"/>
      <c r="O3" s="2127"/>
      <c r="P3" s="1559"/>
      <c r="Q3" s="1559"/>
      <c r="R3" s="1559"/>
      <c r="S3" s="1559"/>
      <c r="T3" s="1559"/>
      <c r="U3" s="1559"/>
      <c r="V3" s="1559"/>
      <c r="W3" s="1559"/>
      <c r="X3" s="1559"/>
      <c r="Y3" s="1559"/>
      <c r="Z3" s="1559"/>
      <c r="AA3" s="1559"/>
      <c r="AB3" s="1561"/>
      <c r="AC3" s="426"/>
    </row>
    <row r="4" spans="1:30" s="1331" customFormat="1" ht="28.5" customHeight="1">
      <c r="A4" s="509" t="s">
        <v>514</v>
      </c>
      <c r="B4" s="425">
        <f>IF(B48="单位面积地价",C50,ROUND(B2*10000/'数据-汇总表'!D3,0))</f>
        <v>47684</v>
      </c>
      <c r="C4" s="2056"/>
      <c r="D4" s="2589"/>
      <c r="E4" s="2056"/>
      <c r="F4" s="2056"/>
      <c r="G4" s="2123"/>
      <c r="H4" s="2123"/>
      <c r="I4" s="2123"/>
      <c r="J4" s="2123"/>
      <c r="K4" s="2125"/>
      <c r="L4" s="2126"/>
      <c r="M4" s="2127"/>
      <c r="N4" s="2127"/>
      <c r="O4" s="2127"/>
      <c r="P4" s="1559"/>
      <c r="Q4" s="1559"/>
      <c r="R4" s="1559"/>
      <c r="S4" s="1559"/>
      <c r="T4" s="1559"/>
      <c r="U4" s="1559"/>
      <c r="V4" s="1559"/>
      <c r="W4" s="1559"/>
      <c r="X4" s="1559"/>
      <c r="Y4" s="1559"/>
      <c r="Z4" s="1559"/>
      <c r="AA4" s="1559"/>
      <c r="AB4" s="1559"/>
      <c r="AC4" s="426"/>
    </row>
    <row r="5" spans="1:30" s="1331" customFormat="1" ht="28.5" customHeight="1" thickBot="1">
      <c r="A5" s="427"/>
      <c r="B5" s="428">
        <f>ROUND(B2/('数据-汇总表'!D3/666.67),0)</f>
        <v>3179</v>
      </c>
      <c r="C5" s="429" t="s">
        <v>462</v>
      </c>
      <c r="D5" s="2056"/>
      <c r="E5" s="2056"/>
      <c r="F5" s="2056"/>
      <c r="G5" s="2123"/>
      <c r="H5" s="2123"/>
      <c r="I5" s="2123"/>
      <c r="J5" s="2123"/>
      <c r="K5" s="2125"/>
      <c r="L5" s="2126"/>
      <c r="M5" s="2127"/>
      <c r="N5" s="2127"/>
      <c r="O5" s="2127"/>
      <c r="P5" s="1559"/>
      <c r="Q5" s="1559"/>
      <c r="R5" s="1559"/>
      <c r="S5" s="1559"/>
      <c r="T5" s="1559"/>
      <c r="U5" s="1559"/>
      <c r="V5" s="1559"/>
      <c r="W5" s="1559"/>
      <c r="X5" s="1559"/>
      <c r="Y5" s="1559"/>
      <c r="Z5" s="1559"/>
      <c r="AA5" s="1559"/>
      <c r="AB5" s="1559"/>
      <c r="AC5" s="426"/>
    </row>
    <row r="6" spans="1:30" ht="20.25">
      <c r="A6" s="510" t="s">
        <v>515</v>
      </c>
      <c r="B6" s="511"/>
      <c r="C6" s="3469" t="s">
        <v>516</v>
      </c>
      <c r="D6" s="3470"/>
      <c r="E6" s="3469" t="s">
        <v>517</v>
      </c>
      <c r="F6" s="3470"/>
      <c r="G6" s="3469" t="s">
        <v>518</v>
      </c>
      <c r="H6" s="3470"/>
      <c r="I6" s="3469" t="s">
        <v>519</v>
      </c>
      <c r="J6" s="3470"/>
      <c r="K6" s="512" t="s">
        <v>520</v>
      </c>
      <c r="L6" s="2128"/>
      <c r="M6" s="2127"/>
      <c r="N6" s="2127"/>
      <c r="O6" s="2129"/>
      <c r="P6" s="3471" t="s">
        <v>521</v>
      </c>
      <c r="Q6" s="3472"/>
      <c r="R6" s="3457" t="s">
        <v>517</v>
      </c>
      <c r="S6" s="3458"/>
      <c r="T6" s="3457" t="s">
        <v>518</v>
      </c>
      <c r="U6" s="3458"/>
      <c r="V6" s="3477" t="s">
        <v>519</v>
      </c>
      <c r="W6" s="3477"/>
      <c r="X6" s="1562"/>
      <c r="Y6" s="3457" t="s">
        <v>521</v>
      </c>
      <c r="Z6" s="3458"/>
      <c r="AA6" s="3452" t="s">
        <v>517</v>
      </c>
      <c r="AB6" s="3453" t="s">
        <v>518</v>
      </c>
      <c r="AC6" s="3452" t="s">
        <v>519</v>
      </c>
    </row>
    <row r="7" spans="1:30" ht="42.75" customHeight="1">
      <c r="A7" s="513"/>
      <c r="B7" s="514"/>
      <c r="C7" s="3480" t="s">
        <v>2923</v>
      </c>
      <c r="D7" s="3481"/>
      <c r="E7" s="3480" t="str">
        <f>土地案例!A2</f>
        <v>东丽区津滨大道与雪山路交口西北侧</v>
      </c>
      <c r="F7" s="3481"/>
      <c r="G7" s="3480" t="str">
        <f>土地案例!A3</f>
        <v>东丽区津滨大道与雪山路交口东北侧</v>
      </c>
      <c r="H7" s="3481"/>
      <c r="I7" s="3480" t="str">
        <f>土地案例!A4</f>
        <v>东丽区津滨大道与沙柳路交口东北侧</v>
      </c>
      <c r="J7" s="3481"/>
      <c r="K7" s="512"/>
      <c r="L7" s="2128"/>
      <c r="M7" s="2127"/>
      <c r="N7" s="2127"/>
      <c r="O7" s="2129"/>
      <c r="P7" s="3473"/>
      <c r="Q7" s="3474"/>
      <c r="R7" s="3459"/>
      <c r="S7" s="3460"/>
      <c r="T7" s="3459"/>
      <c r="U7" s="3460"/>
      <c r="V7" s="3477"/>
      <c r="W7" s="3477"/>
      <c r="X7" s="1562"/>
      <c r="Y7" s="3459"/>
      <c r="Z7" s="3460"/>
      <c r="AA7" s="3453"/>
      <c r="AB7" s="3453"/>
      <c r="AC7" s="3453"/>
    </row>
    <row r="8" spans="1:30" ht="21" thickBot="1">
      <c r="A8" s="513"/>
      <c r="B8" s="514"/>
      <c r="C8" s="3482" t="s">
        <v>2927</v>
      </c>
      <c r="D8" s="3483"/>
      <c r="E8" s="3482" t="s">
        <v>2927</v>
      </c>
      <c r="F8" s="3483"/>
      <c r="G8" s="3478" t="s">
        <v>2927</v>
      </c>
      <c r="H8" s="3479"/>
      <c r="I8" s="3478" t="s">
        <v>2927</v>
      </c>
      <c r="J8" s="3479"/>
      <c r="K8" s="512" t="s">
        <v>522</v>
      </c>
      <c r="L8" s="2128"/>
      <c r="M8" s="2127"/>
      <c r="N8" s="2127"/>
      <c r="O8" s="2129"/>
      <c r="P8" s="3475"/>
      <c r="Q8" s="3476"/>
      <c r="R8" s="3459"/>
      <c r="S8" s="3460"/>
      <c r="T8" s="3461"/>
      <c r="U8" s="3462"/>
      <c r="V8" s="3477"/>
      <c r="W8" s="3477"/>
      <c r="X8" s="1562"/>
      <c r="Y8" s="3461"/>
      <c r="Z8" s="3462"/>
      <c r="AA8" s="3454"/>
      <c r="AB8" s="3454"/>
      <c r="AC8" s="3454"/>
    </row>
    <row r="9" spans="1:30" s="1215" customFormat="1" ht="21" thickBot="1">
      <c r="A9" s="2933"/>
      <c r="B9" s="2940" t="s">
        <v>523</v>
      </c>
      <c r="C9" s="2932">
        <f>'数据-取费表'!B2</f>
        <v>43035</v>
      </c>
      <c r="D9" s="518">
        <v>100</v>
      </c>
      <c r="E9" s="519" t="str">
        <f>土地案例!X2</f>
        <v>2016-08-24</v>
      </c>
      <c r="F9" s="520">
        <f>SUMIF(72:72,YEAR(E9)&amp;"-"&amp;INT((MONTH(E9)+2)/3),73:73)</f>
        <v>97.5</v>
      </c>
      <c r="G9" s="521" t="str">
        <f>土地案例!X3</f>
        <v>2017-07-21</v>
      </c>
      <c r="H9" s="518">
        <f>SUMIF(72:72,YEAR(G9)&amp;"-"&amp;INT((MONTH(G9)+2)/3),73:73)</f>
        <v>99.5</v>
      </c>
      <c r="I9" s="521" t="str">
        <f>土地案例!X4</f>
        <v>2016-08-24</v>
      </c>
      <c r="J9" s="518">
        <f>SUMIF(72:72,YEAR(I9)&amp;"-"&amp;INT((MONTH(I9)+2)/3),73:73)</f>
        <v>97.5</v>
      </c>
      <c r="K9" s="522"/>
      <c r="L9" s="2130"/>
      <c r="M9" s="2127"/>
      <c r="N9" s="2127"/>
      <c r="O9" s="2131"/>
      <c r="P9" s="3455" t="s">
        <v>524</v>
      </c>
      <c r="Q9" s="3464"/>
      <c r="R9" s="1563" t="s">
        <v>8</v>
      </c>
      <c r="S9" s="1564">
        <f t="shared" ref="S9:S17" si="0">F9</f>
        <v>97.5</v>
      </c>
      <c r="T9" s="1563" t="s">
        <v>8</v>
      </c>
      <c r="U9" s="1564">
        <f t="shared" ref="U9:U17" si="1">H9</f>
        <v>99.5</v>
      </c>
      <c r="V9" s="1563" t="s">
        <v>8</v>
      </c>
      <c r="W9" s="1564">
        <f t="shared" ref="W9:W17" si="2">J9</f>
        <v>97.5</v>
      </c>
      <c r="X9" s="1565"/>
      <c r="Y9" s="3455" t="s">
        <v>524</v>
      </c>
      <c r="Z9" s="3456"/>
      <c r="AA9" s="1566">
        <f>D9/F9</f>
        <v>1.0256410256410255</v>
      </c>
      <c r="AB9" s="1566">
        <f>D9/H9</f>
        <v>1.0050251256281406</v>
      </c>
      <c r="AC9" s="1566">
        <f>D9/J9</f>
        <v>1.0256410256410255</v>
      </c>
    </row>
    <row r="10" spans="1:30" s="1215" customFormat="1" ht="21" thickBot="1">
      <c r="A10" s="2934"/>
      <c r="B10" s="2941" t="s">
        <v>525</v>
      </c>
      <c r="C10" s="852" t="s">
        <v>526</v>
      </c>
      <c r="D10" s="518">
        <v>100</v>
      </c>
      <c r="E10" s="523" t="s">
        <v>3036</v>
      </c>
      <c r="F10" s="520">
        <f>SUMIF(75:75,E10,76:76)-SUMIF(75:75,C10,76:76)+100</f>
        <v>100</v>
      </c>
      <c r="G10" s="523" t="s">
        <v>3036</v>
      </c>
      <c r="H10" s="518">
        <f>SUMIF(75:75,G10,76:76)-SUMIF(75:75,C10,76:76)+100</f>
        <v>100</v>
      </c>
      <c r="I10" s="523" t="s">
        <v>3036</v>
      </c>
      <c r="J10" s="518">
        <f>SUMIF(75:75,I10,76:76)-SUMIF(75:75,C10,76:76)+100</f>
        <v>100</v>
      </c>
      <c r="K10" s="522"/>
      <c r="L10" s="2130"/>
      <c r="M10" s="2127"/>
      <c r="N10" s="2127"/>
      <c r="O10" s="2131"/>
      <c r="P10" s="3455" t="s">
        <v>527</v>
      </c>
      <c r="Q10" s="3456"/>
      <c r="R10" s="1563" t="s">
        <v>8</v>
      </c>
      <c r="S10" s="1564">
        <f t="shared" si="0"/>
        <v>100</v>
      </c>
      <c r="T10" s="1563" t="s">
        <v>8</v>
      </c>
      <c r="U10" s="1564">
        <f t="shared" si="1"/>
        <v>100</v>
      </c>
      <c r="V10" s="1563" t="s">
        <v>8</v>
      </c>
      <c r="W10" s="1564">
        <f t="shared" si="2"/>
        <v>100</v>
      </c>
      <c r="X10" s="1565"/>
      <c r="Y10" s="3455" t="s">
        <v>527</v>
      </c>
      <c r="Z10" s="3456"/>
      <c r="AA10" s="1566">
        <f t="shared" ref="AA10:AA47" si="3">D10/F10</f>
        <v>1</v>
      </c>
      <c r="AB10" s="1566">
        <f t="shared" ref="AB10:AB47" si="4">D10/H10</f>
        <v>1</v>
      </c>
      <c r="AC10" s="1566">
        <f t="shared" ref="AC10:AC47" si="5">D10/J10</f>
        <v>1</v>
      </c>
    </row>
    <row r="11" spans="1:30" s="1215" customFormat="1" ht="20.25">
      <c r="A11" s="2935"/>
      <c r="B11" s="2942" t="s">
        <v>2755</v>
      </c>
      <c r="C11" s="2929" t="s">
        <v>3203</v>
      </c>
      <c r="D11" s="249">
        <v>100</v>
      </c>
      <c r="E11" s="3173" t="s">
        <v>3037</v>
      </c>
      <c r="F11" s="249">
        <f>SUMIF(77:77,E11,78:78)-SUMIF(77:77,C11,78:78)+100</f>
        <v>99</v>
      </c>
      <c r="G11" s="3173" t="s">
        <v>3037</v>
      </c>
      <c r="H11" s="249">
        <f>SUMIF(77:77,G11,78:78)-SUMIF(77:77,C11,78:78)+100</f>
        <v>99</v>
      </c>
      <c r="I11" s="3173" t="s">
        <v>3037</v>
      </c>
      <c r="J11" s="249">
        <f>SUMIF(77:77,I11,78:78)-SUMIF(77:77,C11,78:78)+100</f>
        <v>99</v>
      </c>
      <c r="K11" s="522"/>
      <c r="L11" s="2130"/>
      <c r="M11" s="2127"/>
      <c r="N11" s="2127"/>
      <c r="O11" s="2132"/>
      <c r="P11" s="3463" t="s">
        <v>529</v>
      </c>
      <c r="Q11" s="1146" t="str">
        <f t="shared" ref="Q11:Q17" si="6">B11</f>
        <v>用途</v>
      </c>
      <c r="R11" s="1563" t="s">
        <v>8</v>
      </c>
      <c r="S11" s="1564">
        <f t="shared" si="0"/>
        <v>99</v>
      </c>
      <c r="T11" s="1563" t="s">
        <v>8</v>
      </c>
      <c r="U11" s="1564">
        <f t="shared" si="1"/>
        <v>99</v>
      </c>
      <c r="V11" s="1563" t="s">
        <v>8</v>
      </c>
      <c r="W11" s="1564">
        <f t="shared" si="2"/>
        <v>99</v>
      </c>
      <c r="X11" s="1565"/>
      <c r="Y11" s="3420" t="s">
        <v>530</v>
      </c>
      <c r="Z11" s="1145" t="str">
        <f t="shared" ref="Z11:Z17" si="7">Q11</f>
        <v>用途</v>
      </c>
      <c r="AA11" s="1566">
        <f t="shared" si="3"/>
        <v>1.0101010101010102</v>
      </c>
      <c r="AB11" s="1566">
        <f t="shared" si="4"/>
        <v>1.0101010101010102</v>
      </c>
      <c r="AC11" s="1566">
        <f t="shared" si="5"/>
        <v>1.0101010101010102</v>
      </c>
    </row>
    <row r="12" spans="1:30" s="1333" customFormat="1" ht="27">
      <c r="A12" s="2936"/>
      <c r="B12" s="2941" t="s">
        <v>2756</v>
      </c>
      <c r="C12" s="3216" t="s">
        <v>3234</v>
      </c>
      <c r="D12" s="250">
        <v>100</v>
      </c>
      <c r="E12" s="905" t="s">
        <v>3038</v>
      </c>
      <c r="F12" s="250">
        <f>ROUND(100/'数据-取费表'!G16,0)</f>
        <v>100</v>
      </c>
      <c r="G12" s="905" t="s">
        <v>3038</v>
      </c>
      <c r="H12" s="250">
        <f>ROUND(100/'数据-取费表'!G16,0)</f>
        <v>100</v>
      </c>
      <c r="I12" s="905" t="s">
        <v>3038</v>
      </c>
      <c r="J12" s="250">
        <f>ROUND(100/'数据-取费表'!G16,0)</f>
        <v>100</v>
      </c>
      <c r="K12" s="527"/>
      <c r="L12" s="2133"/>
      <c r="M12" s="2127"/>
      <c r="N12" s="2127"/>
      <c r="O12" s="2134"/>
      <c r="P12" s="3463"/>
      <c r="Q12" s="1146" t="str">
        <f t="shared" si="6"/>
        <v>土地使用年限（年）</v>
      </c>
      <c r="R12" s="1563" t="s">
        <v>8</v>
      </c>
      <c r="S12" s="1564">
        <f t="shared" si="0"/>
        <v>100</v>
      </c>
      <c r="T12" s="1563" t="s">
        <v>8</v>
      </c>
      <c r="U12" s="1564">
        <f t="shared" si="1"/>
        <v>100</v>
      </c>
      <c r="V12" s="1563" t="s">
        <v>8</v>
      </c>
      <c r="W12" s="1564">
        <f t="shared" si="2"/>
        <v>100</v>
      </c>
      <c r="X12" s="1565"/>
      <c r="Y12" s="3420"/>
      <c r="Z12" s="1145" t="str">
        <f t="shared" si="7"/>
        <v>土地使用年限（年）</v>
      </c>
      <c r="AA12" s="1566">
        <f t="shared" si="3"/>
        <v>1</v>
      </c>
      <c r="AB12" s="1566">
        <f t="shared" si="4"/>
        <v>1</v>
      </c>
      <c r="AC12" s="1566">
        <f t="shared" si="5"/>
        <v>1</v>
      </c>
    </row>
    <row r="13" spans="1:30" ht="20.25">
      <c r="A13" s="2937"/>
      <c r="B13" s="2941" t="s">
        <v>2757</v>
      </c>
      <c r="C13" s="530">
        <f>'数据-汇总表'!I7</f>
        <v>2.3199999999999998</v>
      </c>
      <c r="D13" s="250">
        <v>100</v>
      </c>
      <c r="E13" s="529">
        <v>2.2999999999999998</v>
      </c>
      <c r="F13" s="250">
        <f>LOOKUP(E13,82:82,83:83)-LOOKUP(C13,82:82,83:83)+100</f>
        <v>100</v>
      </c>
      <c r="G13" s="530">
        <v>2.9</v>
      </c>
      <c r="H13" s="250">
        <f>LOOKUP(G13,82:82,83:83)-LOOKUP(C13,82:82,83:83)+100</f>
        <v>100</v>
      </c>
      <c r="I13" s="529">
        <v>2</v>
      </c>
      <c r="J13" s="250">
        <f>LOOKUP(I13,82:82,83:83)-LOOKUP(C13,82:82,83:83)+100</f>
        <v>100</v>
      </c>
      <c r="K13" s="531">
        <v>1</v>
      </c>
      <c r="L13" s="2135"/>
      <c r="M13" s="2127"/>
      <c r="N13" s="2127"/>
      <c r="O13" s="2136"/>
      <c r="P13" s="3463"/>
      <c r="Q13" s="1146" t="str">
        <f t="shared" si="6"/>
        <v>容积率</v>
      </c>
      <c r="R13" s="1563" t="s">
        <v>8</v>
      </c>
      <c r="S13" s="1564">
        <f t="shared" si="0"/>
        <v>100</v>
      </c>
      <c r="T13" s="1563" t="s">
        <v>8</v>
      </c>
      <c r="U13" s="1564">
        <f t="shared" si="1"/>
        <v>100</v>
      </c>
      <c r="V13" s="1563" t="s">
        <v>8</v>
      </c>
      <c r="W13" s="1564">
        <f t="shared" si="2"/>
        <v>100</v>
      </c>
      <c r="X13" s="1565"/>
      <c r="Y13" s="3420"/>
      <c r="Z13" s="1145" t="str">
        <f t="shared" si="7"/>
        <v>容积率</v>
      </c>
      <c r="AA13" s="1566">
        <f t="shared" si="3"/>
        <v>1</v>
      </c>
      <c r="AB13" s="1566">
        <f t="shared" si="4"/>
        <v>1</v>
      </c>
      <c r="AC13" s="1566">
        <f t="shared" si="5"/>
        <v>1</v>
      </c>
    </row>
    <row r="14" spans="1:30" s="1215" customFormat="1" ht="21" thickBot="1">
      <c r="A14" s="2934"/>
      <c r="B14" s="2943" t="s">
        <v>2758</v>
      </c>
      <c r="C14" s="2930"/>
      <c r="D14" s="534">
        <v>100</v>
      </c>
      <c r="E14" s="1369"/>
      <c r="F14" s="250">
        <f>SUMIF(84:84,E14,85:85)-SUMIF(84:84,C14,85:85)+100</f>
        <v>100</v>
      </c>
      <c r="G14" s="3174"/>
      <c r="H14" s="250">
        <f>SUMIF(84:84,G14,85:85)-SUMIF(84:84,C14,85:85)+100</f>
        <v>100</v>
      </c>
      <c r="I14" s="3174"/>
      <c r="J14" s="250">
        <f>SUMIF(84:84,I14,85:85)-SUMIF(84:84,C14,85:85)+100</f>
        <v>100</v>
      </c>
      <c r="K14" s="527"/>
      <c r="L14" s="2130"/>
      <c r="M14" s="2127"/>
      <c r="N14" s="2127"/>
      <c r="O14" s="2132"/>
      <c r="P14" s="3463"/>
      <c r="Q14" s="1146" t="str">
        <f t="shared" si="6"/>
        <v>配建</v>
      </c>
      <c r="R14" s="1563" t="s">
        <v>8</v>
      </c>
      <c r="S14" s="1564">
        <f t="shared" si="0"/>
        <v>100</v>
      </c>
      <c r="T14" s="1563" t="s">
        <v>8</v>
      </c>
      <c r="U14" s="1564">
        <f t="shared" si="1"/>
        <v>100</v>
      </c>
      <c r="V14" s="1563" t="s">
        <v>8</v>
      </c>
      <c r="W14" s="1564">
        <f t="shared" si="2"/>
        <v>100</v>
      </c>
      <c r="X14" s="1565"/>
      <c r="Y14" s="3420"/>
      <c r="Z14" s="1145" t="str">
        <f t="shared" si="7"/>
        <v>配建</v>
      </c>
      <c r="AA14" s="1566">
        <f>D14/F14</f>
        <v>1</v>
      </c>
      <c r="AB14" s="1566">
        <f>D14/H14</f>
        <v>1</v>
      </c>
      <c r="AC14" s="1566">
        <f>D14/J14</f>
        <v>1</v>
      </c>
    </row>
    <row r="15" spans="1:30" ht="20.25" hidden="1">
      <c r="A15" s="2938"/>
      <c r="B15" s="2944"/>
      <c r="C15" s="907"/>
      <c r="D15" s="536">
        <v>100</v>
      </c>
      <c r="E15" s="537"/>
      <c r="F15" s="250">
        <f>SUMIF(86:86,E15,87:87)-SUMIF(86:86,C15,87:87)+100</f>
        <v>100</v>
      </c>
      <c r="G15" s="538"/>
      <c r="H15" s="536">
        <f>SUMIF(86:86,G15,87:87)-SUMIF(86:86,C15,87:87)+100</f>
        <v>100</v>
      </c>
      <c r="I15" s="538"/>
      <c r="J15" s="536">
        <f>SUMIF(86:86,I15,87:87)-SUMIF(86:86,C15,87:87)+100</f>
        <v>100</v>
      </c>
      <c r="K15" s="527"/>
      <c r="L15" s="2137"/>
      <c r="M15" s="2127"/>
      <c r="N15" s="2127"/>
      <c r="O15" s="2136"/>
      <c r="P15" s="3463"/>
      <c r="Q15" s="1146">
        <f t="shared" si="6"/>
        <v>0</v>
      </c>
      <c r="R15" s="1563" t="s">
        <v>8</v>
      </c>
      <c r="S15" s="1564">
        <f t="shared" si="0"/>
        <v>100</v>
      </c>
      <c r="T15" s="1563" t="s">
        <v>8</v>
      </c>
      <c r="U15" s="1564">
        <f t="shared" si="1"/>
        <v>100</v>
      </c>
      <c r="V15" s="1563" t="s">
        <v>8</v>
      </c>
      <c r="W15" s="1564">
        <f t="shared" si="2"/>
        <v>100</v>
      </c>
      <c r="X15" s="1565"/>
      <c r="Y15" s="3420"/>
      <c r="Z15" s="1145">
        <f t="shared" si="7"/>
        <v>0</v>
      </c>
      <c r="AA15" s="1566">
        <f>D15/F15</f>
        <v>1</v>
      </c>
      <c r="AB15" s="1566">
        <f>D15/H15</f>
        <v>1</v>
      </c>
      <c r="AC15" s="1566">
        <f>D15/J15</f>
        <v>1</v>
      </c>
    </row>
    <row r="16" spans="1:30" ht="21" hidden="1" thickBot="1">
      <c r="A16" s="2939"/>
      <c r="B16" s="2945"/>
      <c r="C16" s="910"/>
      <c r="D16" s="542">
        <v>100</v>
      </c>
      <c r="E16" s="537"/>
      <c r="F16" s="542">
        <f>SUMIF(88:88,E16,89:89)-SUMIF(88:88,C16,89:89)+100</f>
        <v>100</v>
      </c>
      <c r="G16" s="538"/>
      <c r="H16" s="542">
        <f>SUMIF(88:88,G16,89:89)-SUMIF(88:88,C16,89:89)+100</f>
        <v>100</v>
      </c>
      <c r="I16" s="538"/>
      <c r="J16" s="542">
        <f>SUMIF(88:88,I16,89:89)-SUMIF(88:88,C16,89:89)+100</f>
        <v>100</v>
      </c>
      <c r="K16" s="527"/>
      <c r="L16" s="2137"/>
      <c r="M16" s="2127"/>
      <c r="N16" s="2127"/>
      <c r="O16" s="2136"/>
      <c r="P16" s="3463"/>
      <c r="Q16" s="1146">
        <f t="shared" si="6"/>
        <v>0</v>
      </c>
      <c r="R16" s="1563" t="s">
        <v>8</v>
      </c>
      <c r="S16" s="1564">
        <f t="shared" si="0"/>
        <v>100</v>
      </c>
      <c r="T16" s="1563" t="s">
        <v>8</v>
      </c>
      <c r="U16" s="1564">
        <f t="shared" si="1"/>
        <v>100</v>
      </c>
      <c r="V16" s="1563" t="s">
        <v>8</v>
      </c>
      <c r="W16" s="1564">
        <f t="shared" si="2"/>
        <v>100</v>
      </c>
      <c r="X16" s="1565"/>
      <c r="Y16" s="3420"/>
      <c r="Z16" s="1145">
        <f t="shared" si="7"/>
        <v>0</v>
      </c>
      <c r="AA16" s="1566">
        <f>D16/F16</f>
        <v>1</v>
      </c>
      <c r="AB16" s="1566">
        <f>D16/H16</f>
        <v>1</v>
      </c>
      <c r="AC16" s="1566">
        <f>D16/J16</f>
        <v>1</v>
      </c>
    </row>
    <row r="17" spans="1:29" ht="106.5" customHeight="1">
      <c r="A17" s="2931" t="s">
        <v>2753</v>
      </c>
      <c r="B17" s="574" t="s">
        <v>288</v>
      </c>
      <c r="C17" s="544" t="str">
        <f>估价对象房地状况!C15</f>
        <v>估价对象周边居住用地比例较高、居住小区规模和社区发展完善程度较好，有丰盛园、长城公寓、天津公馆等项目，综合评价居住社区成熟度较好</v>
      </c>
      <c r="D17" s="547">
        <v>100</v>
      </c>
      <c r="E17" s="3164" t="s">
        <v>3250</v>
      </c>
      <c r="F17" s="545">
        <f>SUMIF(90:90,E18,91:91)-SUMIF(90:90,C18,91:91)+100</f>
        <v>100</v>
      </c>
      <c r="G17" s="3164" t="s">
        <v>3208</v>
      </c>
      <c r="H17" s="545">
        <f>SUMIF(90:90,G18,91:91)-SUMIF(90:90,C18,91:91)+100</f>
        <v>100</v>
      </c>
      <c r="I17" s="3164" t="s">
        <v>3208</v>
      </c>
      <c r="J17" s="545">
        <f>SUMIF(90:90,I18,91:91)-SUMIF(90:90,C18,91:91)+100</f>
        <v>100</v>
      </c>
      <c r="K17" s="531">
        <v>5</v>
      </c>
      <c r="L17" s="2137"/>
      <c r="M17" s="2127"/>
      <c r="N17" s="2127"/>
      <c r="O17" s="2136"/>
      <c r="P17" s="3465" t="s">
        <v>534</v>
      </c>
      <c r="Q17" s="1567" t="str">
        <f t="shared" si="6"/>
        <v>居住社区成熟度</v>
      </c>
      <c r="R17" s="1568" t="s">
        <v>8</v>
      </c>
      <c r="S17" s="1569">
        <f t="shared" si="0"/>
        <v>100</v>
      </c>
      <c r="T17" s="1568" t="s">
        <v>8</v>
      </c>
      <c r="U17" s="1569">
        <f t="shared" si="1"/>
        <v>100</v>
      </c>
      <c r="V17" s="1568" t="s">
        <v>8</v>
      </c>
      <c r="W17" s="1569">
        <f t="shared" si="2"/>
        <v>100</v>
      </c>
      <c r="X17" s="1562"/>
      <c r="Y17" s="3465" t="s">
        <v>534</v>
      </c>
      <c r="Z17" s="1570" t="str">
        <f t="shared" si="7"/>
        <v>居住社区成熟度</v>
      </c>
      <c r="AA17" s="1571">
        <f t="shared" si="3"/>
        <v>1</v>
      </c>
      <c r="AB17" s="1571">
        <f t="shared" si="4"/>
        <v>1</v>
      </c>
      <c r="AC17" s="1571">
        <f t="shared" si="5"/>
        <v>1</v>
      </c>
    </row>
    <row r="18" spans="1:29" ht="21" thickBot="1">
      <c r="A18" s="528"/>
      <c r="B18" s="549"/>
      <c r="C18" s="550" t="s">
        <v>3040</v>
      </c>
      <c r="D18" s="553"/>
      <c r="E18" s="554" t="s">
        <v>3040</v>
      </c>
      <c r="F18" s="551"/>
      <c r="G18" s="552" t="s">
        <v>3040</v>
      </c>
      <c r="H18" s="555"/>
      <c r="I18" s="554" t="s">
        <v>3040</v>
      </c>
      <c r="J18" s="551"/>
      <c r="K18" s="527"/>
      <c r="L18" s="2137"/>
      <c r="M18" s="2127"/>
      <c r="N18" s="2127"/>
      <c r="O18" s="2136"/>
      <c r="P18" s="3466"/>
      <c r="Q18" s="1567"/>
      <c r="R18" s="1568"/>
      <c r="S18" s="1569"/>
      <c r="T18" s="1568"/>
      <c r="U18" s="1569"/>
      <c r="V18" s="1568"/>
      <c r="W18" s="1569"/>
      <c r="X18" s="1562"/>
      <c r="Y18" s="3466"/>
      <c r="Z18" s="1570"/>
      <c r="AA18" s="1571">
        <v>1</v>
      </c>
      <c r="AB18" s="1571">
        <v>1</v>
      </c>
      <c r="AC18" s="1571">
        <v>1</v>
      </c>
    </row>
    <row r="19" spans="1:29" ht="57">
      <c r="A19" s="528"/>
      <c r="B19" s="556" t="s">
        <v>535</v>
      </c>
      <c r="C19" s="557" t="str">
        <f>估价对象房地状况!C16</f>
        <v>估价对象周边商业氛围成熟度一般，人流量一般，有河东商城等项目，商业繁华度一般</v>
      </c>
      <c r="D19" s="559">
        <v>100</v>
      </c>
      <c r="E19" s="3164" t="s">
        <v>3209</v>
      </c>
      <c r="F19" s="555">
        <f>SUMIF(92:92,E20,93:93)-SUMIF(92:92,C20,93:93)+100</f>
        <v>100</v>
      </c>
      <c r="G19" s="3164" t="s">
        <v>3209</v>
      </c>
      <c r="H19" s="561">
        <f>SUMIF(92:92,G20,93:93)-SUMIF(92:92,C20,93:93)+100</f>
        <v>100</v>
      </c>
      <c r="I19" s="3164" t="s">
        <v>3209</v>
      </c>
      <c r="J19" s="561">
        <f>SUMIF(92:92,I20,93:93)-SUMIF(92:92,C20,93:93)+100</f>
        <v>100</v>
      </c>
      <c r="K19" s="531">
        <v>3</v>
      </c>
      <c r="L19" s="2137"/>
      <c r="M19" s="2127"/>
      <c r="N19" s="2127"/>
      <c r="O19" s="2136"/>
      <c r="P19" s="3466"/>
      <c r="Q19" s="1567" t="str">
        <f>B19</f>
        <v>商业繁华度</v>
      </c>
      <c r="R19" s="1568" t="s">
        <v>8</v>
      </c>
      <c r="S19" s="1569">
        <f>F19</f>
        <v>100</v>
      </c>
      <c r="T19" s="1568" t="s">
        <v>8</v>
      </c>
      <c r="U19" s="1569">
        <f>H19</f>
        <v>100</v>
      </c>
      <c r="V19" s="1568" t="s">
        <v>8</v>
      </c>
      <c r="W19" s="1569">
        <f>J19</f>
        <v>100</v>
      </c>
      <c r="X19" s="1562"/>
      <c r="Y19" s="3466"/>
      <c r="Z19" s="1570" t="str">
        <f>Q19</f>
        <v>商业繁华度</v>
      </c>
      <c r="AA19" s="1571">
        <f t="shared" si="3"/>
        <v>1</v>
      </c>
      <c r="AB19" s="1571">
        <f t="shared" si="4"/>
        <v>1</v>
      </c>
      <c r="AC19" s="1571">
        <f t="shared" si="5"/>
        <v>1</v>
      </c>
    </row>
    <row r="20" spans="1:29" ht="20.25">
      <c r="A20" s="528"/>
      <c r="B20" s="562"/>
      <c r="C20" s="563" t="s">
        <v>3039</v>
      </c>
      <c r="D20" s="559"/>
      <c r="E20" s="565" t="s">
        <v>3039</v>
      </c>
      <c r="F20" s="555"/>
      <c r="G20" s="565" t="s">
        <v>3039</v>
      </c>
      <c r="H20" s="551"/>
      <c r="I20" s="565" t="s">
        <v>3039</v>
      </c>
      <c r="J20" s="551"/>
      <c r="K20" s="527"/>
      <c r="L20" s="2137"/>
      <c r="M20" s="2127"/>
      <c r="N20" s="2127"/>
      <c r="O20" s="2136"/>
      <c r="P20" s="3466"/>
      <c r="Q20" s="1567"/>
      <c r="R20" s="1568"/>
      <c r="S20" s="1569"/>
      <c r="T20" s="1568"/>
      <c r="U20" s="1569"/>
      <c r="V20" s="1568"/>
      <c r="W20" s="1569"/>
      <c r="X20" s="1562"/>
      <c r="Y20" s="3466"/>
      <c r="Z20" s="1570"/>
      <c r="AA20" s="1571">
        <v>1</v>
      </c>
      <c r="AB20" s="1571">
        <v>1</v>
      </c>
      <c r="AC20" s="1571">
        <v>1</v>
      </c>
    </row>
    <row r="21" spans="1:29" ht="83.25" customHeight="1">
      <c r="A21" s="528"/>
      <c r="B21" s="556" t="s">
        <v>536</v>
      </c>
      <c r="C21" s="557" t="str">
        <f>估价对象房地状况!C17</f>
        <v>估价对象周边商务办公氛围较好，有泰达大厦、金皇大厦、万通中心等多个写字楼项目，办公集聚程度较好</v>
      </c>
      <c r="D21" s="567">
        <v>100</v>
      </c>
      <c r="E21" s="3217" t="s">
        <v>3236</v>
      </c>
      <c r="F21" s="561">
        <f>SUMIF(94:94,E22,95:95)-SUMIF(94:94,C22,95:95)+100</f>
        <v>96</v>
      </c>
      <c r="G21" s="3217" t="s">
        <v>3236</v>
      </c>
      <c r="H21" s="555">
        <f>SUMIF(94:94,G22,95:95)-SUMIF(94:94,C22,95:95)+100</f>
        <v>96</v>
      </c>
      <c r="I21" s="3217" t="s">
        <v>3236</v>
      </c>
      <c r="J21" s="555">
        <f>SUMIF(94:94,I22,95:95)-SUMIF(94:94,C22,95:95)+100</f>
        <v>96</v>
      </c>
      <c r="K21" s="531">
        <v>2</v>
      </c>
      <c r="L21" s="2137"/>
      <c r="M21" s="2127"/>
      <c r="N21" s="2127"/>
      <c r="O21" s="2136"/>
      <c r="P21" s="3466"/>
      <c r="Q21" s="1567" t="str">
        <f>B21</f>
        <v>办公集聚程度</v>
      </c>
      <c r="R21" s="1568" t="s">
        <v>8</v>
      </c>
      <c r="S21" s="1569">
        <f>F21</f>
        <v>96</v>
      </c>
      <c r="T21" s="1568" t="s">
        <v>8</v>
      </c>
      <c r="U21" s="1569">
        <f>H21</f>
        <v>96</v>
      </c>
      <c r="V21" s="1568" t="s">
        <v>8</v>
      </c>
      <c r="W21" s="1569">
        <f>J21</f>
        <v>96</v>
      </c>
      <c r="X21" s="1562"/>
      <c r="Y21" s="3466"/>
      <c r="Z21" s="1570" t="str">
        <f>Q21</f>
        <v>办公集聚程度</v>
      </c>
      <c r="AA21" s="1571">
        <f t="shared" si="3"/>
        <v>1.0416666666666667</v>
      </c>
      <c r="AB21" s="1571">
        <f t="shared" si="4"/>
        <v>1.0416666666666667</v>
      </c>
      <c r="AC21" s="1571">
        <f t="shared" si="5"/>
        <v>1.0416666666666667</v>
      </c>
    </row>
    <row r="22" spans="1:29" ht="20.25">
      <c r="A22" s="528"/>
      <c r="B22" s="562"/>
      <c r="C22" s="550" t="s">
        <v>3040</v>
      </c>
      <c r="D22" s="553"/>
      <c r="E22" s="554" t="s">
        <v>3257</v>
      </c>
      <c r="F22" s="551"/>
      <c r="G22" s="554" t="s">
        <v>3257</v>
      </c>
      <c r="H22" s="551"/>
      <c r="I22" s="554" t="s">
        <v>3257</v>
      </c>
      <c r="J22" s="551"/>
      <c r="K22" s="527"/>
      <c r="L22" s="2137"/>
      <c r="M22" s="2127"/>
      <c r="N22" s="2127"/>
      <c r="O22" s="2136"/>
      <c r="P22" s="3466"/>
      <c r="Q22" s="1567"/>
      <c r="R22" s="1568"/>
      <c r="S22" s="1569"/>
      <c r="T22" s="1568"/>
      <c r="U22" s="1569"/>
      <c r="V22" s="1568"/>
      <c r="W22" s="1569"/>
      <c r="X22" s="1562"/>
      <c r="Y22" s="3466"/>
      <c r="Z22" s="1570"/>
      <c r="AA22" s="1571">
        <v>1</v>
      </c>
      <c r="AB22" s="1571">
        <v>1</v>
      </c>
      <c r="AC22" s="1571">
        <v>1</v>
      </c>
    </row>
    <row r="23" spans="1:29" ht="110.25">
      <c r="A23" s="528"/>
      <c r="B23" s="556" t="s">
        <v>537</v>
      </c>
      <c r="C23" s="569" t="str">
        <f>估价对象房地状况!C18</f>
        <v>估价对象周边1公里有92、840路等公交车及地铁1、9号线经过，公共交通通达情况较好、停车便捷程度较好，综合评价交通便捷度较好</v>
      </c>
      <c r="D23" s="559">
        <v>100</v>
      </c>
      <c r="E23" s="560" t="s">
        <v>3251</v>
      </c>
      <c r="F23" s="561">
        <f>SUMIF(96:96,E24,97:97)-SUMIF(96:96,C24,97:97)+100</f>
        <v>98</v>
      </c>
      <c r="G23" s="560" t="s">
        <v>3210</v>
      </c>
      <c r="H23" s="555">
        <f>SUMIF(96:96,G24,97:97)-SUMIF(96:96,C24,97:97)+100</f>
        <v>98</v>
      </c>
      <c r="I23" s="560" t="s">
        <v>3210</v>
      </c>
      <c r="J23" s="555">
        <f>SUMIF(96:96,I24,97:97)-SUMIF(96:96,C24,97:97)+100</f>
        <v>98</v>
      </c>
      <c r="K23" s="531">
        <v>2</v>
      </c>
      <c r="L23" s="2137"/>
      <c r="M23" s="2127"/>
      <c r="N23" s="2127"/>
      <c r="O23" s="2136"/>
      <c r="P23" s="3466"/>
      <c r="Q23" s="1567" t="str">
        <f>B23</f>
        <v>交通便捷度</v>
      </c>
      <c r="R23" s="1568" t="s">
        <v>8</v>
      </c>
      <c r="S23" s="1569">
        <f>F23</f>
        <v>98</v>
      </c>
      <c r="T23" s="1568" t="s">
        <v>8</v>
      </c>
      <c r="U23" s="1569">
        <f>H23</f>
        <v>98</v>
      </c>
      <c r="V23" s="1568" t="s">
        <v>8</v>
      </c>
      <c r="W23" s="1569">
        <f>J23</f>
        <v>98</v>
      </c>
      <c r="X23" s="1562"/>
      <c r="Y23" s="3466"/>
      <c r="Z23" s="1570" t="str">
        <f>Q23</f>
        <v>交通便捷度</v>
      </c>
      <c r="AA23" s="1571">
        <f t="shared" si="3"/>
        <v>1.0204081632653061</v>
      </c>
      <c r="AB23" s="1571">
        <f t="shared" si="4"/>
        <v>1.0204081632653061</v>
      </c>
      <c r="AC23" s="1571">
        <f t="shared" si="5"/>
        <v>1.0204081632653061</v>
      </c>
    </row>
    <row r="24" spans="1:29" ht="20.25">
      <c r="A24" s="528"/>
      <c r="B24" s="574"/>
      <c r="C24" s="550" t="s">
        <v>3040</v>
      </c>
      <c r="D24" s="553"/>
      <c r="E24" s="554" t="s">
        <v>3039</v>
      </c>
      <c r="F24" s="551"/>
      <c r="G24" s="554" t="s">
        <v>3039</v>
      </c>
      <c r="H24" s="551"/>
      <c r="I24" s="554" t="s">
        <v>3039</v>
      </c>
      <c r="J24" s="551"/>
      <c r="K24" s="527"/>
      <c r="L24" s="2137"/>
      <c r="M24" s="2127"/>
      <c r="N24" s="2127"/>
      <c r="O24" s="2136"/>
      <c r="P24" s="3466"/>
      <c r="Q24" s="1567"/>
      <c r="R24" s="1568"/>
      <c r="S24" s="1569"/>
      <c r="T24" s="1568"/>
      <c r="U24" s="1569"/>
      <c r="V24" s="1568"/>
      <c r="W24" s="1569"/>
      <c r="X24" s="1562"/>
      <c r="Y24" s="3466"/>
      <c r="Z24" s="1570"/>
      <c r="AA24" s="1571">
        <v>1</v>
      </c>
      <c r="AB24" s="1571">
        <v>1</v>
      </c>
      <c r="AC24" s="1571">
        <v>1</v>
      </c>
    </row>
    <row r="25" spans="1:29" ht="28.5">
      <c r="A25" s="513"/>
      <c r="B25" s="254" t="s">
        <v>538</v>
      </c>
      <c r="C25" s="569" t="str">
        <f>估价对象房地状况!C19</f>
        <v>零星有其他用地，基本不影响本宗地</v>
      </c>
      <c r="D25" s="559">
        <v>100</v>
      </c>
      <c r="E25" s="560" t="s">
        <v>3032</v>
      </c>
      <c r="F25" s="561">
        <f>SUMIF(98:98,E26,99:99)-SUMIF(98:98,C26,99:99)+100</f>
        <v>100</v>
      </c>
      <c r="G25" s="560" t="s">
        <v>3032</v>
      </c>
      <c r="H25" s="555">
        <f>SUMIF(98:98,G26,99:99)-SUMIF(98:98,C26,99:99)+100</f>
        <v>100</v>
      </c>
      <c r="I25" s="560" t="s">
        <v>3032</v>
      </c>
      <c r="J25" s="555">
        <f>SUMIF(98:98,I26,99:99)-SUMIF(98:98,C26,99:99)+100</f>
        <v>100</v>
      </c>
      <c r="K25" s="531">
        <v>1</v>
      </c>
      <c r="L25" s="2137"/>
      <c r="M25" s="2127"/>
      <c r="N25" s="2127"/>
      <c r="O25" s="2136"/>
      <c r="P25" s="3466"/>
      <c r="Q25" s="1567" t="str">
        <f t="shared" ref="Q25:Q39" si="8">B25</f>
        <v>区域土地利用方向</v>
      </c>
      <c r="R25" s="1568" t="s">
        <v>8</v>
      </c>
      <c r="S25" s="1569">
        <f>F25</f>
        <v>100</v>
      </c>
      <c r="T25" s="1568" t="s">
        <v>8</v>
      </c>
      <c r="U25" s="1569">
        <f>H25</f>
        <v>100</v>
      </c>
      <c r="V25" s="1568" t="s">
        <v>8</v>
      </c>
      <c r="W25" s="1569">
        <f>J25</f>
        <v>100</v>
      </c>
      <c r="X25" s="1562"/>
      <c r="Y25" s="3466"/>
      <c r="Z25" s="1570" t="str">
        <f>Q25</f>
        <v>区域土地利用方向</v>
      </c>
      <c r="AA25" s="1571">
        <f t="shared" si="3"/>
        <v>1</v>
      </c>
      <c r="AB25" s="1571">
        <f t="shared" si="4"/>
        <v>1</v>
      </c>
      <c r="AC25" s="1571">
        <f t="shared" si="5"/>
        <v>1</v>
      </c>
    </row>
    <row r="26" spans="1:29" ht="20.25">
      <c r="A26" s="513"/>
      <c r="B26" s="1002"/>
      <c r="C26" s="550" t="s">
        <v>3040</v>
      </c>
      <c r="D26" s="553"/>
      <c r="E26" s="554" t="s">
        <v>3040</v>
      </c>
      <c r="F26" s="551"/>
      <c r="G26" s="552" t="s">
        <v>3040</v>
      </c>
      <c r="H26" s="551"/>
      <c r="I26" s="554" t="s">
        <v>3040</v>
      </c>
      <c r="J26" s="551"/>
      <c r="K26" s="527"/>
      <c r="L26" s="2137"/>
      <c r="M26" s="2127"/>
      <c r="N26" s="2127"/>
      <c r="O26" s="2136"/>
      <c r="P26" s="3466"/>
      <c r="Q26" s="1567"/>
      <c r="R26" s="1568"/>
      <c r="S26" s="1569"/>
      <c r="T26" s="1568"/>
      <c r="U26" s="1569"/>
      <c r="V26" s="1568"/>
      <c r="W26" s="1569"/>
      <c r="X26" s="1562"/>
      <c r="Y26" s="3466"/>
      <c r="Z26" s="1570"/>
      <c r="AA26" s="1571"/>
      <c r="AB26" s="1571"/>
      <c r="AC26" s="1571"/>
    </row>
    <row r="27" spans="1:29" ht="28.5">
      <c r="A27" s="513"/>
      <c r="B27" s="574" t="s">
        <v>539</v>
      </c>
      <c r="C27" s="557" t="str">
        <f>估价对象房地状况!C20</f>
        <v>周边2公里内区域自然环境较好</v>
      </c>
      <c r="D27" s="559">
        <v>100</v>
      </c>
      <c r="E27" s="560" t="s">
        <v>3044</v>
      </c>
      <c r="F27" s="555">
        <f>SUMIF(100:100,E28,101:101)-SUMIF(100:100,C28,101:101)+100</f>
        <v>98</v>
      </c>
      <c r="G27" s="560" t="s">
        <v>3044</v>
      </c>
      <c r="H27" s="555">
        <f>SUMIF(100:100,G28,101:101)-SUMIF(100:100,C28,101:101)+100</f>
        <v>98</v>
      </c>
      <c r="I27" s="560" t="s">
        <v>3046</v>
      </c>
      <c r="J27" s="555">
        <f>SUMIF(100:100,I28,101:101)-SUMIF(100:100,C28,101:101)+100</f>
        <v>98</v>
      </c>
      <c r="K27" s="531">
        <v>2</v>
      </c>
      <c r="L27" s="2137"/>
      <c r="M27" s="2127"/>
      <c r="N27" s="2127"/>
      <c r="O27" s="2136"/>
      <c r="P27" s="3466"/>
      <c r="Q27" s="1567" t="str">
        <f t="shared" si="8"/>
        <v>自然及人文环境状况</v>
      </c>
      <c r="R27" s="1568" t="s">
        <v>8</v>
      </c>
      <c r="S27" s="1569">
        <f>F27</f>
        <v>98</v>
      </c>
      <c r="T27" s="1568" t="s">
        <v>8</v>
      </c>
      <c r="U27" s="1569">
        <f>H27</f>
        <v>98</v>
      </c>
      <c r="V27" s="1568" t="s">
        <v>8</v>
      </c>
      <c r="W27" s="1569">
        <f>J27</f>
        <v>98</v>
      </c>
      <c r="X27" s="1562"/>
      <c r="Y27" s="3466"/>
      <c r="Z27" s="1570" t="str">
        <f>Q27</f>
        <v>自然及人文环境状况</v>
      </c>
      <c r="AA27" s="1571">
        <f t="shared" si="3"/>
        <v>1.0204081632653061</v>
      </c>
      <c r="AB27" s="1571">
        <f t="shared" si="4"/>
        <v>1.0204081632653061</v>
      </c>
      <c r="AC27" s="1571">
        <f t="shared" si="5"/>
        <v>1.0204081632653061</v>
      </c>
    </row>
    <row r="28" spans="1:29" ht="20.25">
      <c r="A28" s="513"/>
      <c r="B28" s="562"/>
      <c r="C28" s="550" t="s">
        <v>3040</v>
      </c>
      <c r="D28" s="553"/>
      <c r="E28" s="550" t="s">
        <v>3039</v>
      </c>
      <c r="F28" s="551"/>
      <c r="G28" s="550" t="s">
        <v>3039</v>
      </c>
      <c r="H28" s="551"/>
      <c r="I28" s="572" t="s">
        <v>3039</v>
      </c>
      <c r="J28" s="551"/>
      <c r="K28" s="527"/>
      <c r="L28" s="2137"/>
      <c r="M28" s="2127"/>
      <c r="N28" s="2127"/>
      <c r="O28" s="2136"/>
      <c r="P28" s="3466"/>
      <c r="Q28" s="1567"/>
      <c r="R28" s="1568"/>
      <c r="S28" s="1569"/>
      <c r="T28" s="1568"/>
      <c r="U28" s="1569"/>
      <c r="V28" s="1568"/>
      <c r="W28" s="1569"/>
      <c r="X28" s="1562"/>
      <c r="Y28" s="3466"/>
      <c r="Z28" s="1570"/>
      <c r="AA28" s="1571">
        <v>1</v>
      </c>
      <c r="AB28" s="1571">
        <v>1</v>
      </c>
      <c r="AC28" s="1571">
        <v>1</v>
      </c>
    </row>
    <row r="29" spans="1:29" s="1215" customFormat="1" ht="40.5">
      <c r="A29" s="573"/>
      <c r="B29" s="2610" t="s">
        <v>2545</v>
      </c>
      <c r="C29" s="569" t="str">
        <f>估价对象房地状况!C21</f>
        <v>估价对象所在区域公共配套设施齐备情况一般</v>
      </c>
      <c r="D29" s="559">
        <v>100</v>
      </c>
      <c r="E29" s="3165" t="s">
        <v>3045</v>
      </c>
      <c r="F29" s="555">
        <f>SUMIF(102:102,E30,103:103)-SUMIF(102:102,C30,103:103)+100</f>
        <v>100</v>
      </c>
      <c r="G29" s="3165" t="s">
        <v>3045</v>
      </c>
      <c r="H29" s="555">
        <f>SUMIF(102:102,G30,103:103)-SUMIF(102:102,C30,103:103)+100</f>
        <v>100</v>
      </c>
      <c r="I29" s="3165" t="s">
        <v>3045</v>
      </c>
      <c r="J29" s="555">
        <f>SUMIF(102:102,I30,103:103)-SUMIF(102:102,C30,103:103)+100</f>
        <v>100</v>
      </c>
      <c r="K29" s="531">
        <v>1</v>
      </c>
      <c r="L29" s="2130"/>
      <c r="M29" s="2127"/>
      <c r="N29" s="2127"/>
      <c r="O29" s="2132"/>
      <c r="P29" s="3466"/>
      <c r="Q29" s="1146" t="str">
        <f t="shared" si="8"/>
        <v>公共配套设施</v>
      </c>
      <c r="R29" s="1563" t="s">
        <v>8</v>
      </c>
      <c r="S29" s="1564">
        <f>F29</f>
        <v>100</v>
      </c>
      <c r="T29" s="1563" t="s">
        <v>8</v>
      </c>
      <c r="U29" s="1564">
        <f>H29</f>
        <v>100</v>
      </c>
      <c r="V29" s="1563" t="s">
        <v>8</v>
      </c>
      <c r="W29" s="1564">
        <f>J29</f>
        <v>100</v>
      </c>
      <c r="X29" s="1565"/>
      <c r="Y29" s="3466"/>
      <c r="Z29" s="1145" t="str">
        <f>Q29</f>
        <v>公共配套设施</v>
      </c>
      <c r="AA29" s="1571">
        <f>D29/F29</f>
        <v>1</v>
      </c>
      <c r="AB29" s="1571">
        <f>D29/H29</f>
        <v>1</v>
      </c>
      <c r="AC29" s="1571">
        <f>D29/J29</f>
        <v>1</v>
      </c>
    </row>
    <row r="30" spans="1:29" s="1215" customFormat="1" ht="20.25">
      <c r="A30" s="573"/>
      <c r="B30" s="562"/>
      <c r="C30" s="575" t="s">
        <v>3039</v>
      </c>
      <c r="D30" s="553"/>
      <c r="E30" s="575" t="s">
        <v>3039</v>
      </c>
      <c r="F30" s="551"/>
      <c r="G30" s="575" t="s">
        <v>3039</v>
      </c>
      <c r="H30" s="551"/>
      <c r="I30" s="575" t="s">
        <v>3039</v>
      </c>
      <c r="J30" s="551"/>
      <c r="K30" s="527"/>
      <c r="L30" s="2130"/>
      <c r="M30" s="2127"/>
      <c r="N30" s="2127"/>
      <c r="O30" s="2132"/>
      <c r="P30" s="3466"/>
      <c r="Q30" s="1146"/>
      <c r="R30" s="1563"/>
      <c r="S30" s="1564"/>
      <c r="T30" s="1563"/>
      <c r="U30" s="1564"/>
      <c r="V30" s="1563"/>
      <c r="W30" s="1564"/>
      <c r="X30" s="1565"/>
      <c r="Y30" s="3466"/>
      <c r="Z30" s="1145"/>
      <c r="AA30" s="1571">
        <v>1</v>
      </c>
      <c r="AB30" s="1571">
        <v>1</v>
      </c>
      <c r="AC30" s="1571">
        <v>1</v>
      </c>
    </row>
    <row r="31" spans="1:29" s="1215" customFormat="1" ht="28.5">
      <c r="A31" s="573"/>
      <c r="B31" s="2610" t="s">
        <v>2546</v>
      </c>
      <c r="C31" s="569" t="str">
        <f>估价对象房地状况!C22</f>
        <v>估价对象所在区域基础设施水平-六通</v>
      </c>
      <c r="D31" s="559">
        <v>100</v>
      </c>
      <c r="E31" s="560"/>
      <c r="F31" s="555">
        <f>SUMIF(104:104,E32,105:105)-SUMIF(104:104,C32,105:105)+100</f>
        <v>100</v>
      </c>
      <c r="G31" s="558"/>
      <c r="H31" s="555">
        <f>SUMIF(104:104,G32,105:105)-SUMIF(104:104,C32,105:105)+100</f>
        <v>100</v>
      </c>
      <c r="I31" s="560"/>
      <c r="J31" s="555">
        <f>SUMIF(104:104,I32,105:105)-SUMIF(104:104,C32,105:105)+100</f>
        <v>100</v>
      </c>
      <c r="K31" s="531">
        <v>1</v>
      </c>
      <c r="L31" s="2130"/>
      <c r="M31" s="2127"/>
      <c r="N31" s="2127"/>
      <c r="O31" s="2132"/>
      <c r="P31" s="3466"/>
      <c r="Q31" s="2597" t="str">
        <f t="shared" ref="Q31" si="9">B31</f>
        <v>基础设施水平</v>
      </c>
      <c r="R31" s="1563" t="s">
        <v>8</v>
      </c>
      <c r="S31" s="1564">
        <f>F31</f>
        <v>100</v>
      </c>
      <c r="T31" s="1563" t="s">
        <v>8</v>
      </c>
      <c r="U31" s="1564">
        <f>H31</f>
        <v>100</v>
      </c>
      <c r="V31" s="1563" t="s">
        <v>8</v>
      </c>
      <c r="W31" s="1564">
        <f>J31</f>
        <v>100</v>
      </c>
      <c r="X31" s="1565"/>
      <c r="Y31" s="3466"/>
      <c r="Z31" s="2594" t="str">
        <f>Q31</f>
        <v>基础设施水平</v>
      </c>
      <c r="AA31" s="1571">
        <f>D31/F31</f>
        <v>1</v>
      </c>
      <c r="AB31" s="1571">
        <f>D31/H31</f>
        <v>1</v>
      </c>
      <c r="AC31" s="1571">
        <f>D31/J31</f>
        <v>1</v>
      </c>
    </row>
    <row r="32" spans="1:29" s="1215" customFormat="1" ht="20.25">
      <c r="A32" s="573"/>
      <c r="B32" s="562"/>
      <c r="C32" s="575" t="s">
        <v>3211</v>
      </c>
      <c r="D32" s="553"/>
      <c r="E32" s="575" t="s">
        <v>3211</v>
      </c>
      <c r="F32" s="551"/>
      <c r="G32" s="575" t="s">
        <v>3211</v>
      </c>
      <c r="H32" s="551"/>
      <c r="I32" s="575" t="s">
        <v>3211</v>
      </c>
      <c r="J32" s="551"/>
      <c r="K32" s="527"/>
      <c r="L32" s="2130"/>
      <c r="M32" s="2127"/>
      <c r="N32" s="2127"/>
      <c r="O32" s="2132"/>
      <c r="P32" s="3466"/>
      <c r="Q32" s="2597"/>
      <c r="R32" s="1563"/>
      <c r="S32" s="1564"/>
      <c r="T32" s="1563"/>
      <c r="U32" s="1564"/>
      <c r="V32" s="1563"/>
      <c r="W32" s="1564"/>
      <c r="X32" s="1565"/>
      <c r="Y32" s="3466"/>
      <c r="Z32" s="2594"/>
      <c r="AA32" s="1571">
        <v>1</v>
      </c>
      <c r="AB32" s="1571">
        <v>1</v>
      </c>
      <c r="AC32" s="1571">
        <v>1</v>
      </c>
    </row>
    <row r="33" spans="1:29" ht="20.25" hidden="1">
      <c r="A33" s="528"/>
      <c r="B33" s="562" t="s">
        <v>541</v>
      </c>
      <c r="C33" s="576"/>
      <c r="D33" s="571">
        <v>100</v>
      </c>
      <c r="E33" s="579"/>
      <c r="F33" s="536">
        <f>SUMIF(106:106,E33,107:107)-SUMIF(106:106,C33,107:107)+100</f>
        <v>100</v>
      </c>
      <c r="G33" s="576"/>
      <c r="H33" s="536">
        <f>SUMIF(106:106,G33,107:107)-SUMIF(106:106,C33,107:107)+100</f>
        <v>100</v>
      </c>
      <c r="I33" s="576"/>
      <c r="J33" s="536">
        <f>SUMIF(106:106,I33,107:107)-SUMIF(106:106,C33,107:107)+100</f>
        <v>100</v>
      </c>
      <c r="K33" s="531"/>
      <c r="L33" s="2137"/>
      <c r="M33" s="2127"/>
      <c r="N33" s="2127"/>
      <c r="O33" s="2136"/>
      <c r="P33" s="3466"/>
      <c r="Q33" s="1567" t="str">
        <f t="shared" si="8"/>
        <v>临街状况</v>
      </c>
      <c r="R33" s="1568" t="s">
        <v>8</v>
      </c>
      <c r="S33" s="1569">
        <f t="shared" ref="S33:S47" si="10">F33</f>
        <v>100</v>
      </c>
      <c r="T33" s="1568" t="s">
        <v>8</v>
      </c>
      <c r="U33" s="1569">
        <f t="shared" ref="U33:U47" si="11">H33</f>
        <v>100</v>
      </c>
      <c r="V33" s="1568" t="s">
        <v>8</v>
      </c>
      <c r="W33" s="1569">
        <f t="shared" ref="W33:W47" si="12">J33</f>
        <v>100</v>
      </c>
      <c r="X33" s="1562"/>
      <c r="Y33" s="3466"/>
      <c r="Z33" s="1570" t="str">
        <f t="shared" ref="Z33:Z47" si="13">Q33</f>
        <v>临街状况</v>
      </c>
      <c r="AA33" s="1571">
        <f t="shared" si="3"/>
        <v>1</v>
      </c>
      <c r="AB33" s="1571">
        <f t="shared" si="4"/>
        <v>1</v>
      </c>
      <c r="AC33" s="1571">
        <f t="shared" si="5"/>
        <v>1</v>
      </c>
    </row>
    <row r="34" spans="1:29" ht="27">
      <c r="A34" s="528"/>
      <c r="B34" s="574" t="s">
        <v>542</v>
      </c>
      <c r="C34" s="558"/>
      <c r="D34" s="559">
        <v>100</v>
      </c>
      <c r="E34" s="558" t="s">
        <v>3256</v>
      </c>
      <c r="F34" s="555">
        <f>SUMIF(108:108,E35,109:109)-SUMIF(108:108,C35,109:109)+100</f>
        <v>101</v>
      </c>
      <c r="G34" s="558" t="s">
        <v>3256</v>
      </c>
      <c r="H34" s="555">
        <f>SUMIF(108:108,G35,109:109)-SUMIF(108:108,C35,109:109)+100</f>
        <v>101</v>
      </c>
      <c r="I34" s="558" t="s">
        <v>3256</v>
      </c>
      <c r="J34" s="555">
        <f>SUMIF(108:108,I35,109:109)-SUMIF(108:108,C35,109:109)+100</f>
        <v>101</v>
      </c>
      <c r="K34" s="531">
        <v>1</v>
      </c>
      <c r="L34" s="2137"/>
      <c r="M34" s="2127"/>
      <c r="N34" s="2127"/>
      <c r="O34" s="2136"/>
      <c r="P34" s="3466"/>
      <c r="Q34" s="1567" t="str">
        <f t="shared" si="8"/>
        <v>毗邻道路的类型与等级</v>
      </c>
      <c r="R34" s="1568" t="s">
        <v>8</v>
      </c>
      <c r="S34" s="1569">
        <f t="shared" si="10"/>
        <v>101</v>
      </c>
      <c r="T34" s="1568" t="s">
        <v>8</v>
      </c>
      <c r="U34" s="1569">
        <f t="shared" si="11"/>
        <v>101</v>
      </c>
      <c r="V34" s="1568" t="s">
        <v>8</v>
      </c>
      <c r="W34" s="1569">
        <f t="shared" si="12"/>
        <v>101</v>
      </c>
      <c r="X34" s="1562"/>
      <c r="Y34" s="3466"/>
      <c r="Z34" s="1570" t="str">
        <f t="shared" si="13"/>
        <v>毗邻道路的类型与等级</v>
      </c>
      <c r="AA34" s="1571">
        <f t="shared" si="3"/>
        <v>0.99009900990099009</v>
      </c>
      <c r="AB34" s="1571">
        <f t="shared" si="4"/>
        <v>0.99009900990099009</v>
      </c>
      <c r="AC34" s="1571">
        <f t="shared" si="5"/>
        <v>0.99009900990099009</v>
      </c>
    </row>
    <row r="35" spans="1:29" ht="21" thickBot="1">
      <c r="A35" s="528"/>
      <c r="B35" s="562"/>
      <c r="C35" s="550" t="s">
        <v>3042</v>
      </c>
      <c r="D35" s="553"/>
      <c r="E35" s="572" t="s">
        <v>3255</v>
      </c>
      <c r="F35" s="551"/>
      <c r="G35" s="572" t="s">
        <v>3255</v>
      </c>
      <c r="H35" s="551"/>
      <c r="I35" s="572" t="s">
        <v>3255</v>
      </c>
      <c r="J35" s="551"/>
      <c r="K35" s="577"/>
      <c r="L35" s="2137"/>
      <c r="M35" s="2127"/>
      <c r="N35" s="2127"/>
      <c r="O35" s="2136"/>
      <c r="P35" s="3466"/>
      <c r="Q35" s="1567"/>
      <c r="R35" s="1568"/>
      <c r="S35" s="1569"/>
      <c r="T35" s="1568"/>
      <c r="U35" s="1569"/>
      <c r="V35" s="1568"/>
      <c r="W35" s="1569"/>
      <c r="X35" s="1562"/>
      <c r="Y35" s="3466"/>
      <c r="Z35" s="1570"/>
      <c r="AA35" s="1571">
        <v>1</v>
      </c>
      <c r="AB35" s="1571">
        <v>1</v>
      </c>
      <c r="AC35" s="1571">
        <v>1</v>
      </c>
    </row>
    <row r="36" spans="1:29" ht="20.25" hidden="1">
      <c r="A36" s="528"/>
      <c r="B36" s="578" t="s">
        <v>543</v>
      </c>
      <c r="C36" s="576"/>
      <c r="D36" s="571">
        <v>100</v>
      </c>
      <c r="E36" s="579"/>
      <c r="F36" s="536">
        <f>SUMIF(110:110,E36,111:111)-SUMIF(110:110,C36,111:111)+100</f>
        <v>100</v>
      </c>
      <c r="G36" s="576"/>
      <c r="H36" s="536">
        <f>SUMIF(110:110,G36,111:111)-SUMIF(110:110,C36,111:111)+100</f>
        <v>100</v>
      </c>
      <c r="I36" s="579"/>
      <c r="J36" s="536">
        <f>SUMIF(110:110,I36,111:111)-SUMIF(110:110,C36,111:111)+100</f>
        <v>100</v>
      </c>
      <c r="K36" s="580"/>
      <c r="L36" s="2137"/>
      <c r="M36" s="2127"/>
      <c r="N36" s="2127"/>
      <c r="O36" s="2136"/>
      <c r="P36" s="3466"/>
      <c r="Q36" s="1567" t="str">
        <f t="shared" si="8"/>
        <v>土地级别</v>
      </c>
      <c r="R36" s="1568" t="s">
        <v>8</v>
      </c>
      <c r="S36" s="1569">
        <f t="shared" si="10"/>
        <v>100</v>
      </c>
      <c r="T36" s="1568" t="s">
        <v>8</v>
      </c>
      <c r="U36" s="1569">
        <f t="shared" si="11"/>
        <v>100</v>
      </c>
      <c r="V36" s="1568" t="s">
        <v>8</v>
      </c>
      <c r="W36" s="1569">
        <f t="shared" si="12"/>
        <v>100</v>
      </c>
      <c r="X36" s="1562"/>
      <c r="Y36" s="3466"/>
      <c r="Z36" s="1570" t="str">
        <f t="shared" si="13"/>
        <v>土地级别</v>
      </c>
      <c r="AA36" s="1571">
        <f t="shared" si="3"/>
        <v>1</v>
      </c>
      <c r="AB36" s="1571">
        <f t="shared" si="4"/>
        <v>1</v>
      </c>
      <c r="AC36" s="1571">
        <f t="shared" si="5"/>
        <v>1</v>
      </c>
    </row>
    <row r="37" spans="1:29" ht="20.25" hidden="1">
      <c r="A37" s="513"/>
      <c r="B37" s="581"/>
      <c r="C37" s="582"/>
      <c r="D37" s="571">
        <v>100</v>
      </c>
      <c r="E37" s="538"/>
      <c r="F37" s="536">
        <f>SUMIF(112:112,E37,113:113)-SUMIF(112:112,C37,113:113)+100</f>
        <v>100</v>
      </c>
      <c r="G37" s="582"/>
      <c r="H37" s="536">
        <f>SUMIF(112:112,G37,113:113)-SUMIF(112:112,C37,113:113)+100</f>
        <v>100</v>
      </c>
      <c r="I37" s="538"/>
      <c r="J37" s="536">
        <f>SUMIF(112:112,I37,113:113)-SUMIF(112:112,C37,113:113)+100</f>
        <v>100</v>
      </c>
      <c r="K37" s="577"/>
      <c r="L37" s="2137"/>
      <c r="M37" s="2127"/>
      <c r="N37" s="2127"/>
      <c r="O37" s="2136"/>
      <c r="P37" s="3466"/>
      <c r="Q37" s="1567">
        <f t="shared" si="8"/>
        <v>0</v>
      </c>
      <c r="R37" s="1568" t="s">
        <v>8</v>
      </c>
      <c r="S37" s="1569">
        <f t="shared" si="10"/>
        <v>100</v>
      </c>
      <c r="T37" s="1568" t="s">
        <v>8</v>
      </c>
      <c r="U37" s="1569">
        <f t="shared" si="11"/>
        <v>100</v>
      </c>
      <c r="V37" s="1568" t="s">
        <v>8</v>
      </c>
      <c r="W37" s="1569">
        <f t="shared" si="12"/>
        <v>100</v>
      </c>
      <c r="X37" s="1562"/>
      <c r="Y37" s="3466"/>
      <c r="Z37" s="1570">
        <f t="shared" si="13"/>
        <v>0</v>
      </c>
      <c r="AA37" s="1571">
        <f t="shared" si="3"/>
        <v>1</v>
      </c>
      <c r="AB37" s="1571">
        <f t="shared" si="4"/>
        <v>1</v>
      </c>
      <c r="AC37" s="1571">
        <f t="shared" si="5"/>
        <v>1</v>
      </c>
    </row>
    <row r="38" spans="1:29" ht="20.25" hidden="1">
      <c r="A38" s="583"/>
      <c r="B38" s="584"/>
      <c r="C38" s="582"/>
      <c r="D38" s="571">
        <v>100</v>
      </c>
      <c r="E38" s="538"/>
      <c r="F38" s="536">
        <f>SUMIF(114:114,E39,115:115)-SUMIF(114:114,C39,115:115)+100</f>
        <v>100</v>
      </c>
      <c r="G38" s="582"/>
      <c r="H38" s="536">
        <f>SUMIF(114:114,G38,115:115)-SUMIF(114:114,C38,115:115)+100</f>
        <v>100</v>
      </c>
      <c r="I38" s="538"/>
      <c r="J38" s="536">
        <f>SUMIF(114:114,I38,115:115)-SUMIF(114:114,C38,115:115)+100</f>
        <v>100</v>
      </c>
      <c r="K38" s="577"/>
      <c r="L38" s="2137"/>
      <c r="M38" s="2127"/>
      <c r="N38" s="2127"/>
      <c r="O38" s="2136"/>
      <c r="P38" s="3467" t="s">
        <v>544</v>
      </c>
      <c r="Q38" s="1567">
        <f t="shared" si="8"/>
        <v>0</v>
      </c>
      <c r="R38" s="1568" t="s">
        <v>8</v>
      </c>
      <c r="S38" s="1569">
        <f t="shared" si="10"/>
        <v>100</v>
      </c>
      <c r="T38" s="1568" t="s">
        <v>8</v>
      </c>
      <c r="U38" s="1569">
        <f t="shared" si="11"/>
        <v>100</v>
      </c>
      <c r="V38" s="1568" t="s">
        <v>8</v>
      </c>
      <c r="W38" s="1569">
        <f t="shared" si="12"/>
        <v>100</v>
      </c>
      <c r="X38" s="1562"/>
      <c r="Y38" s="3468" t="s">
        <v>544</v>
      </c>
      <c r="Z38" s="1570">
        <f t="shared" si="13"/>
        <v>0</v>
      </c>
      <c r="AA38" s="1571">
        <f t="shared" si="3"/>
        <v>1</v>
      </c>
      <c r="AB38" s="1571">
        <f t="shared" si="4"/>
        <v>1</v>
      </c>
      <c r="AC38" s="1571">
        <f t="shared" si="5"/>
        <v>1</v>
      </c>
    </row>
    <row r="39" spans="1:29" s="1334" customFormat="1" ht="21" hidden="1" thickBot="1">
      <c r="A39" s="585"/>
      <c r="B39" s="586"/>
      <c r="C39" s="587"/>
      <c r="D39" s="736">
        <v>100</v>
      </c>
      <c r="E39" s="589"/>
      <c r="F39" s="542">
        <f>SUMIF(116:116,E39,117:117)-SUMIF(116:116,C39,117:117)+100</f>
        <v>100</v>
      </c>
      <c r="G39" s="737"/>
      <c r="H39" s="542">
        <f>SUMIF(116:116,G39,117:117)-SUMIF(116:116,C39,117:117)+100</f>
        <v>100</v>
      </c>
      <c r="I39" s="589"/>
      <c r="J39" s="542">
        <f>SUMIF(116:116,I39,117:117)-SUMIF(116:116,C39,117:117)+100</f>
        <v>100</v>
      </c>
      <c r="K39" s="577"/>
      <c r="L39" s="2135"/>
      <c r="M39" s="2127"/>
      <c r="N39" s="2127"/>
      <c r="O39" s="2138"/>
      <c r="P39" s="3468"/>
      <c r="Q39" s="1567">
        <f t="shared" si="8"/>
        <v>0</v>
      </c>
      <c r="R39" s="1572" t="s">
        <v>8</v>
      </c>
      <c r="S39" s="1573">
        <f t="shared" si="10"/>
        <v>100</v>
      </c>
      <c r="T39" s="1572" t="s">
        <v>8</v>
      </c>
      <c r="U39" s="1573">
        <f t="shared" si="11"/>
        <v>100</v>
      </c>
      <c r="V39" s="1572" t="s">
        <v>8</v>
      </c>
      <c r="W39" s="1573">
        <f t="shared" si="12"/>
        <v>100</v>
      </c>
      <c r="X39" s="1574"/>
      <c r="Y39" s="3468"/>
      <c r="Z39" s="1575">
        <f t="shared" si="13"/>
        <v>0</v>
      </c>
      <c r="AA39" s="1571">
        <f t="shared" si="3"/>
        <v>1</v>
      </c>
      <c r="AB39" s="1571">
        <f t="shared" si="4"/>
        <v>1</v>
      </c>
      <c r="AC39" s="1571">
        <f t="shared" si="5"/>
        <v>1</v>
      </c>
    </row>
    <row r="40" spans="1:29" ht="20.25">
      <c r="A40" s="2928" t="s">
        <v>2754</v>
      </c>
      <c r="B40" s="591" t="s">
        <v>546</v>
      </c>
      <c r="C40" s="592">
        <f>'数据-基础表'!A3</f>
        <v>121315.09999999999</v>
      </c>
      <c r="D40" s="593">
        <v>100</v>
      </c>
      <c r="E40" s="592">
        <f>土地案例!J2</f>
        <v>65169.8</v>
      </c>
      <c r="F40" s="593">
        <f>LOOKUP(E40,119:119,120:120)-LOOKUP(C40,119:119,120:120)+100</f>
        <v>98</v>
      </c>
      <c r="G40" s="592">
        <f>土地案例!J3</f>
        <v>91047.9</v>
      </c>
      <c r="H40" s="593">
        <f>LOOKUP(G40,119:119,120:120)-LOOKUP(C40,119:119,120:120)+100</f>
        <v>99</v>
      </c>
      <c r="I40" s="594">
        <f>土地案例!J4</f>
        <v>64606.3</v>
      </c>
      <c r="J40" s="593">
        <f>LOOKUP(I40,119:119,120:120)-LOOKUP(C40,119:119,120:120)+100</f>
        <v>98</v>
      </c>
      <c r="K40" s="577"/>
      <c r="L40" s="2137"/>
      <c r="M40" s="2127"/>
      <c r="N40" s="2127"/>
      <c r="O40" s="2136"/>
      <c r="P40" s="3468"/>
      <c r="Q40" s="1567" t="str">
        <f>B40</f>
        <v>宗地面积</v>
      </c>
      <c r="R40" s="1568" t="s">
        <v>8</v>
      </c>
      <c r="S40" s="1569">
        <f t="shared" si="10"/>
        <v>98</v>
      </c>
      <c r="T40" s="1568" t="s">
        <v>8</v>
      </c>
      <c r="U40" s="1569">
        <f t="shared" si="11"/>
        <v>99</v>
      </c>
      <c r="V40" s="1568" t="s">
        <v>8</v>
      </c>
      <c r="W40" s="1569">
        <f t="shared" si="12"/>
        <v>98</v>
      </c>
      <c r="X40" s="1562"/>
      <c r="Y40" s="3468"/>
      <c r="Z40" s="1570" t="str">
        <f t="shared" si="13"/>
        <v>宗地面积</v>
      </c>
      <c r="AA40" s="1571">
        <f t="shared" si="3"/>
        <v>1.0204081632653061</v>
      </c>
      <c r="AB40" s="1571">
        <f t="shared" si="4"/>
        <v>1.0101010101010102</v>
      </c>
      <c r="AC40" s="1571">
        <f t="shared" si="5"/>
        <v>1.0204081632653061</v>
      </c>
    </row>
    <row r="41" spans="1:29" ht="20.25">
      <c r="A41" s="590"/>
      <c r="B41" s="525" t="s">
        <v>547</v>
      </c>
      <c r="C41" s="595" t="s">
        <v>3212</v>
      </c>
      <c r="D41" s="536">
        <v>100</v>
      </c>
      <c r="E41" s="595" t="s">
        <v>3212</v>
      </c>
      <c r="F41" s="536">
        <f>SUMIF(121:121,E41,122:122)-SUMIF(121:121,C41,122:122)+100</f>
        <v>100</v>
      </c>
      <c r="G41" s="595" t="s">
        <v>3212</v>
      </c>
      <c r="H41" s="536">
        <f>SUMIF(121:121,G41,122:122)-SUMIF(121:121,C41,122:122)+100</f>
        <v>100</v>
      </c>
      <c r="I41" s="595" t="s">
        <v>3212</v>
      </c>
      <c r="J41" s="536">
        <f>SUMIF(121:121,I41,122:122)-SUMIF(121:121,C41,122:122)+100</f>
        <v>100</v>
      </c>
      <c r="K41" s="580"/>
      <c r="L41" s="2137"/>
      <c r="M41" s="2127"/>
      <c r="N41" s="2127"/>
      <c r="O41" s="2136"/>
      <c r="P41" s="3468"/>
      <c r="Q41" s="1567" t="str">
        <f t="shared" ref="Q41:Q47" si="14">B41</f>
        <v>宗地形状</v>
      </c>
      <c r="R41" s="1568" t="s">
        <v>8</v>
      </c>
      <c r="S41" s="1569">
        <f t="shared" si="10"/>
        <v>100</v>
      </c>
      <c r="T41" s="1568" t="s">
        <v>8</v>
      </c>
      <c r="U41" s="1569">
        <f t="shared" si="11"/>
        <v>100</v>
      </c>
      <c r="V41" s="1568" t="s">
        <v>8</v>
      </c>
      <c r="W41" s="1569">
        <f t="shared" si="12"/>
        <v>100</v>
      </c>
      <c r="X41" s="1562"/>
      <c r="Y41" s="3468"/>
      <c r="Z41" s="1570" t="str">
        <f t="shared" si="13"/>
        <v>宗地形状</v>
      </c>
      <c r="AA41" s="1571">
        <f t="shared" si="3"/>
        <v>1</v>
      </c>
      <c r="AB41" s="1571">
        <f t="shared" si="4"/>
        <v>1</v>
      </c>
      <c r="AC41" s="1571">
        <f t="shared" si="5"/>
        <v>1</v>
      </c>
    </row>
    <row r="42" spans="1:29" ht="20.25">
      <c r="A42" s="590"/>
      <c r="B42" s="525" t="s">
        <v>548</v>
      </c>
      <c r="C42" s="595"/>
      <c r="D42" s="536">
        <v>100</v>
      </c>
      <c r="E42" s="595"/>
      <c r="F42" s="536">
        <f>SUMIF(123:123,E42,124:124)-SUMIF(123:123,C42,124:124)+100</f>
        <v>100</v>
      </c>
      <c r="G42" s="595"/>
      <c r="H42" s="536">
        <f>SUMIF(123:123,G42,124:124)-SUMIF(123:123,C42,124:124)+100</f>
        <v>100</v>
      </c>
      <c r="I42" s="595"/>
      <c r="J42" s="536">
        <f>SUMIF(123:123,I42,124:124)-SUMIF(123:123,C42,124:124)+100</f>
        <v>100</v>
      </c>
      <c r="K42" s="580"/>
      <c r="L42" s="2137"/>
      <c r="M42" s="2127"/>
      <c r="N42" s="2127"/>
      <c r="O42" s="2136"/>
      <c r="P42" s="3468"/>
      <c r="Q42" s="1567" t="str">
        <f t="shared" si="14"/>
        <v>临街宽度及深度</v>
      </c>
      <c r="R42" s="1568" t="s">
        <v>8</v>
      </c>
      <c r="S42" s="1569">
        <f t="shared" si="10"/>
        <v>100</v>
      </c>
      <c r="T42" s="1568" t="s">
        <v>8</v>
      </c>
      <c r="U42" s="1569">
        <f t="shared" si="11"/>
        <v>100</v>
      </c>
      <c r="V42" s="1568" t="s">
        <v>8</v>
      </c>
      <c r="W42" s="1569">
        <f t="shared" si="12"/>
        <v>100</v>
      </c>
      <c r="X42" s="1562"/>
      <c r="Y42" s="3468"/>
      <c r="Z42" s="1570" t="str">
        <f t="shared" si="13"/>
        <v>临街宽度及深度</v>
      </c>
      <c r="AA42" s="1571">
        <f t="shared" si="3"/>
        <v>1</v>
      </c>
      <c r="AB42" s="1571">
        <f t="shared" si="4"/>
        <v>1</v>
      </c>
      <c r="AC42" s="1571">
        <f t="shared" si="5"/>
        <v>1</v>
      </c>
    </row>
    <row r="43" spans="1:29" s="1215" customFormat="1" ht="20.25">
      <c r="A43" s="596"/>
      <c r="B43" s="1890" t="s">
        <v>2419</v>
      </c>
      <c r="C43" s="597" t="s">
        <v>3078</v>
      </c>
      <c r="D43" s="250">
        <v>100</v>
      </c>
      <c r="E43" s="597" t="s">
        <v>3078</v>
      </c>
      <c r="F43" s="536">
        <f>SUMIF(125:125,E43,126:126)-SUMIF(125:125,C43,126:126)+100</f>
        <v>100</v>
      </c>
      <c r="G43" s="597" t="s">
        <v>3078</v>
      </c>
      <c r="H43" s="536">
        <f>SUMIF(125:125,G43,126:126)-SUMIF(125:125,C43,126:126)+100</f>
        <v>100</v>
      </c>
      <c r="I43" s="597" t="s">
        <v>3078</v>
      </c>
      <c r="J43" s="536">
        <f>SUMIF(125:125,I43,126:126)-SUMIF(125:125,C43,126:126)+100</f>
        <v>100</v>
      </c>
      <c r="K43" s="580">
        <v>1</v>
      </c>
      <c r="L43" s="2130"/>
      <c r="M43" s="2127"/>
      <c r="N43" s="2127"/>
      <c r="O43" s="2132"/>
      <c r="P43" s="3468"/>
      <c r="Q43" s="1567" t="str">
        <f t="shared" si="14"/>
        <v>宗地开发程度</v>
      </c>
      <c r="R43" s="1563" t="s">
        <v>8</v>
      </c>
      <c r="S43" s="1564">
        <f t="shared" si="10"/>
        <v>100</v>
      </c>
      <c r="T43" s="1563" t="s">
        <v>8</v>
      </c>
      <c r="U43" s="1564">
        <f t="shared" si="11"/>
        <v>100</v>
      </c>
      <c r="V43" s="1563" t="s">
        <v>8</v>
      </c>
      <c r="W43" s="1564">
        <f t="shared" si="12"/>
        <v>100</v>
      </c>
      <c r="X43" s="1565"/>
      <c r="Y43" s="3468"/>
      <c r="Z43" s="1145" t="str">
        <f t="shared" si="13"/>
        <v>宗地开发程度</v>
      </c>
      <c r="AA43" s="1566">
        <f t="shared" si="3"/>
        <v>1</v>
      </c>
      <c r="AB43" s="1566">
        <f t="shared" si="4"/>
        <v>1</v>
      </c>
      <c r="AC43" s="1566">
        <f t="shared" si="5"/>
        <v>1</v>
      </c>
    </row>
    <row r="44" spans="1:29" ht="21" thickBot="1">
      <c r="A44" s="590"/>
      <c r="B44" s="525" t="s">
        <v>549</v>
      </c>
      <c r="C44" s="595" t="s">
        <v>3040</v>
      </c>
      <c r="D44" s="536">
        <v>100</v>
      </c>
      <c r="E44" s="595" t="s">
        <v>3040</v>
      </c>
      <c r="F44" s="536">
        <f>SUMIF(127:127,E44,128:128)-SUMIF(127:127,C44,128:128)+100</f>
        <v>100</v>
      </c>
      <c r="G44" s="595" t="s">
        <v>3040</v>
      </c>
      <c r="H44" s="536">
        <f>SUMIF(127:127,G44,128:128)-SUMIF(127:127,C44,128:128)+100</f>
        <v>100</v>
      </c>
      <c r="I44" s="595" t="s">
        <v>3040</v>
      </c>
      <c r="J44" s="536">
        <f>SUMIF(127:127,I44,128:128)-SUMIF(127:127,C44,128:128)+100</f>
        <v>100</v>
      </c>
      <c r="K44" s="580">
        <v>2</v>
      </c>
      <c r="L44" s="2137"/>
      <c r="M44" s="2127"/>
      <c r="N44" s="2127"/>
      <c r="O44" s="2136"/>
      <c r="P44" s="3468" t="s">
        <v>544</v>
      </c>
      <c r="Q44" s="1567" t="str">
        <f t="shared" si="14"/>
        <v>工程地质条件</v>
      </c>
      <c r="R44" s="1568" t="s">
        <v>8</v>
      </c>
      <c r="S44" s="1569">
        <f t="shared" si="10"/>
        <v>100</v>
      </c>
      <c r="T44" s="1568" t="s">
        <v>8</v>
      </c>
      <c r="U44" s="1569">
        <f t="shared" si="11"/>
        <v>100</v>
      </c>
      <c r="V44" s="1568" t="s">
        <v>8</v>
      </c>
      <c r="W44" s="1569">
        <f t="shared" si="12"/>
        <v>100</v>
      </c>
      <c r="X44" s="1562"/>
      <c r="Y44" s="3468" t="s">
        <v>544</v>
      </c>
      <c r="Z44" s="1570" t="str">
        <f t="shared" si="13"/>
        <v>工程地质条件</v>
      </c>
      <c r="AA44" s="1571">
        <f t="shared" si="3"/>
        <v>1</v>
      </c>
      <c r="AB44" s="1571">
        <f t="shared" si="4"/>
        <v>1</v>
      </c>
      <c r="AC44" s="1571">
        <f t="shared" si="5"/>
        <v>1</v>
      </c>
    </row>
    <row r="45" spans="1:29" ht="20.25" hidden="1">
      <c r="A45" s="590"/>
      <c r="B45" s="598">
        <v>111</v>
      </c>
      <c r="C45" s="538"/>
      <c r="D45" s="536">
        <v>100</v>
      </c>
      <c r="E45" s="538"/>
      <c r="F45" s="536">
        <f>SUMIF(129:129,E45,130:130)-SUMIF(129:129,C45,130:130)+100</f>
        <v>100</v>
      </c>
      <c r="G45" s="538"/>
      <c r="H45" s="536">
        <f>SUMIF(129:129,G45,130:130)-SUMIF(129:129,C45,130:130)+100</f>
        <v>100</v>
      </c>
      <c r="I45" s="537"/>
      <c r="J45" s="536">
        <f>SUMIF(129:129,I45,130:130)-SUMIF(129:129,C45,130:130)+100</f>
        <v>100</v>
      </c>
      <c r="K45" s="577"/>
      <c r="L45" s="2137"/>
      <c r="M45" s="2127"/>
      <c r="N45" s="2127"/>
      <c r="O45" s="2136"/>
      <c r="P45" s="3468"/>
      <c r="Q45" s="1567">
        <f t="shared" si="14"/>
        <v>111</v>
      </c>
      <c r="R45" s="1568" t="s">
        <v>8</v>
      </c>
      <c r="S45" s="1569">
        <f t="shared" si="10"/>
        <v>100</v>
      </c>
      <c r="T45" s="1568" t="s">
        <v>8</v>
      </c>
      <c r="U45" s="1569">
        <f t="shared" si="11"/>
        <v>100</v>
      </c>
      <c r="V45" s="1568" t="s">
        <v>8</v>
      </c>
      <c r="W45" s="1569">
        <f t="shared" si="12"/>
        <v>100</v>
      </c>
      <c r="X45" s="1562"/>
      <c r="Y45" s="3468"/>
      <c r="Z45" s="1570">
        <f t="shared" si="13"/>
        <v>111</v>
      </c>
      <c r="AA45" s="1571">
        <f t="shared" si="3"/>
        <v>1</v>
      </c>
      <c r="AB45" s="1571">
        <f t="shared" si="4"/>
        <v>1</v>
      </c>
      <c r="AC45" s="1571">
        <f t="shared" si="5"/>
        <v>1</v>
      </c>
    </row>
    <row r="46" spans="1:29" ht="20.25" hidden="1">
      <c r="A46" s="590"/>
      <c r="B46" s="598">
        <v>111</v>
      </c>
      <c r="C46" s="538"/>
      <c r="D46" s="536">
        <v>100</v>
      </c>
      <c r="E46" s="538"/>
      <c r="F46" s="536">
        <f>SUMIF(131:131,E46,132:132)-SUMIF(131:131,C46,132:132)+100</f>
        <v>100</v>
      </c>
      <c r="G46" s="538"/>
      <c r="H46" s="536">
        <f>SUMIF(131:131,G46,132:132)-SUMIF(131:131,C46,132:132)+100</f>
        <v>100</v>
      </c>
      <c r="I46" s="537"/>
      <c r="J46" s="536">
        <f>SUMIF(131:131,I46,132:132)-SUMIF(131:131,C46,132:132)+100</f>
        <v>100</v>
      </c>
      <c r="K46" s="577"/>
      <c r="L46" s="2137"/>
      <c r="M46" s="2127"/>
      <c r="N46" s="2127"/>
      <c r="O46" s="2136"/>
      <c r="P46" s="3468"/>
      <c r="Q46" s="1567">
        <f t="shared" si="14"/>
        <v>111</v>
      </c>
      <c r="R46" s="1568" t="s">
        <v>8</v>
      </c>
      <c r="S46" s="1569">
        <f t="shared" si="10"/>
        <v>100</v>
      </c>
      <c r="T46" s="1568" t="s">
        <v>8</v>
      </c>
      <c r="U46" s="1569">
        <f t="shared" si="11"/>
        <v>100</v>
      </c>
      <c r="V46" s="1568" t="s">
        <v>8</v>
      </c>
      <c r="W46" s="1569">
        <f t="shared" si="12"/>
        <v>100</v>
      </c>
      <c r="X46" s="1562"/>
      <c r="Y46" s="3468"/>
      <c r="Z46" s="1570">
        <f t="shared" si="13"/>
        <v>111</v>
      </c>
      <c r="AA46" s="1571">
        <f t="shared" si="3"/>
        <v>1</v>
      </c>
      <c r="AB46" s="1571">
        <f t="shared" si="4"/>
        <v>1</v>
      </c>
      <c r="AC46" s="1571">
        <f t="shared" si="5"/>
        <v>1</v>
      </c>
    </row>
    <row r="47" spans="1:29" s="1334" customFormat="1" ht="21" hidden="1" thickBot="1">
      <c r="A47" s="599"/>
      <c r="B47" s="598">
        <v>111</v>
      </c>
      <c r="C47" s="600"/>
      <c r="D47" s="601">
        <v>100</v>
      </c>
      <c r="E47" s="538"/>
      <c r="F47" s="542">
        <f>SUMIF(133:133,E47,134:134)-SUMIF(133:133,C47,134:134)+100</f>
        <v>100</v>
      </c>
      <c r="G47" s="538"/>
      <c r="H47" s="542">
        <f>SUMIF(133:133,G47,134:134)-SUMIF(133:133,C47,134:134)+100</f>
        <v>100</v>
      </c>
      <c r="I47" s="538"/>
      <c r="J47" s="542">
        <f>SUMIF(133:133,I47,134:134)-SUMIF(133:133,C47,134:134)+100</f>
        <v>100</v>
      </c>
      <c r="K47" s="602"/>
      <c r="L47" s="2135"/>
      <c r="M47" s="2127"/>
      <c r="N47" s="2127"/>
      <c r="O47" s="2138"/>
      <c r="P47" s="3468"/>
      <c r="Q47" s="1567">
        <f t="shared" si="14"/>
        <v>111</v>
      </c>
      <c r="R47" s="1572" t="s">
        <v>8</v>
      </c>
      <c r="S47" s="1573">
        <f t="shared" si="10"/>
        <v>100</v>
      </c>
      <c r="T47" s="1572" t="s">
        <v>8</v>
      </c>
      <c r="U47" s="1573">
        <f t="shared" si="11"/>
        <v>100</v>
      </c>
      <c r="V47" s="1572" t="s">
        <v>8</v>
      </c>
      <c r="W47" s="1573">
        <f t="shared" si="12"/>
        <v>100</v>
      </c>
      <c r="X47" s="1574"/>
      <c r="Y47" s="3468"/>
      <c r="Z47" s="1575">
        <f t="shared" si="13"/>
        <v>111</v>
      </c>
      <c r="AA47" s="1571">
        <f t="shared" si="3"/>
        <v>1</v>
      </c>
      <c r="AB47" s="1571">
        <f t="shared" si="4"/>
        <v>1</v>
      </c>
      <c r="AC47" s="1571">
        <f t="shared" si="5"/>
        <v>1</v>
      </c>
    </row>
    <row r="48" spans="1:29" ht="20.25">
      <c r="A48" s="603" t="s">
        <v>550</v>
      </c>
      <c r="B48" s="604" t="s">
        <v>3047</v>
      </c>
      <c r="C48" s="605" t="s">
        <v>1</v>
      </c>
      <c r="D48" s="606"/>
      <c r="E48" s="607">
        <f>ROUND(土地案例!AG2,0)</f>
        <v>19049</v>
      </c>
      <c r="F48" s="608"/>
      <c r="G48" s="607">
        <f>ROUND(土地案例!AG3,0)</f>
        <v>19035</v>
      </c>
      <c r="H48" s="610"/>
      <c r="I48" s="607">
        <f>ROUND(土地案例!AG4,0)</f>
        <v>18035</v>
      </c>
      <c r="J48" s="610"/>
      <c r="K48" s="1335"/>
      <c r="L48" s="2139"/>
      <c r="M48" s="2127"/>
      <c r="N48" s="2127"/>
      <c r="O48" s="2140"/>
      <c r="P48" s="3463" t="str">
        <f>A48</f>
        <v>成交单价</v>
      </c>
      <c r="Q48" s="3463"/>
      <c r="R48" s="3477">
        <f>E48</f>
        <v>19049</v>
      </c>
      <c r="S48" s="3477"/>
      <c r="T48" s="3477">
        <f>G48</f>
        <v>19035</v>
      </c>
      <c r="U48" s="3477"/>
      <c r="V48" s="3477">
        <f>I48</f>
        <v>18035</v>
      </c>
      <c r="W48" s="3477"/>
      <c r="X48" s="1554"/>
      <c r="Y48" s="1576"/>
      <c r="Z48" s="1554"/>
      <c r="AA48" s="1554"/>
      <c r="AB48" s="1554"/>
      <c r="AC48" s="1554"/>
    </row>
    <row r="49" spans="1:29" ht="21" thickBot="1">
      <c r="A49" s="611" t="s">
        <v>2692</v>
      </c>
      <c r="B49" s="612"/>
      <c r="C49" s="613">
        <f>R50</f>
        <v>21020</v>
      </c>
      <c r="D49" s="614"/>
      <c r="E49" s="613">
        <f>R49</f>
        <v>21625</v>
      </c>
      <c r="F49" s="615"/>
      <c r="G49" s="616">
        <f>T49</f>
        <v>20961</v>
      </c>
      <c r="H49" s="614"/>
      <c r="I49" s="613">
        <f>V49</f>
        <v>20474</v>
      </c>
      <c r="J49" s="614"/>
      <c r="K49" s="1336"/>
      <c r="L49" s="2139"/>
      <c r="M49" s="2127"/>
      <c r="N49" s="2127"/>
      <c r="O49" s="2140"/>
      <c r="P49" s="3463" t="str">
        <f>A49</f>
        <v>比较价格（元/平方米）</v>
      </c>
      <c r="Q49" s="3463"/>
      <c r="R49" s="3487">
        <f>ROUND(PRODUCT(R48,AA9:AA47),0)</f>
        <v>21625</v>
      </c>
      <c r="S49" s="3487"/>
      <c r="T49" s="3487">
        <f>ROUND(PRODUCT(T48,AB9:AB47),0)</f>
        <v>20961</v>
      </c>
      <c r="U49" s="3487"/>
      <c r="V49" s="3487">
        <f>ROUND(PRODUCT(V48,AC9:AC47),0)</f>
        <v>20474</v>
      </c>
      <c r="W49" s="3487"/>
      <c r="X49" s="1554"/>
      <c r="Y49" s="1554"/>
      <c r="Z49" s="1554"/>
      <c r="AA49" s="1554"/>
      <c r="AB49" s="1554"/>
      <c r="AC49" s="1554"/>
    </row>
    <row r="50" spans="1:29" ht="21" thickBot="1">
      <c r="A50" s="617" t="s">
        <v>2929</v>
      </c>
      <c r="B50" s="618"/>
      <c r="C50" s="619">
        <f>R50</f>
        <v>21020</v>
      </c>
      <c r="D50" s="619"/>
      <c r="E50" s="619"/>
      <c r="F50" s="619"/>
      <c r="G50" s="619"/>
      <c r="H50" s="619"/>
      <c r="I50" s="619"/>
      <c r="J50" s="619"/>
      <c r="K50" s="1337"/>
      <c r="L50" s="2139"/>
      <c r="M50" s="2127"/>
      <c r="N50" s="2127"/>
      <c r="O50" s="2140"/>
      <c r="P50" s="3484" t="str">
        <f>A50</f>
        <v>估价对象XX用房的比较价格（楼面单价，元/平方米）</v>
      </c>
      <c r="Q50" s="3485"/>
      <c r="R50" s="3486">
        <f>ROUND(AVERAGE(R49:V49),0)</f>
        <v>21020</v>
      </c>
      <c r="S50" s="3486"/>
      <c r="T50" s="3486"/>
      <c r="U50" s="3486"/>
      <c r="V50" s="3486"/>
      <c r="W50" s="3486"/>
      <c r="X50" s="1554"/>
      <c r="Y50" s="1554"/>
      <c r="Z50" s="1554"/>
      <c r="AA50" s="1554"/>
      <c r="AB50" s="1554"/>
      <c r="AC50" s="1554"/>
    </row>
    <row r="51" spans="1:29" ht="20.25">
      <c r="A51" s="2140"/>
      <c r="B51" s="2140"/>
      <c r="C51" s="2140"/>
      <c r="D51" s="2140"/>
      <c r="E51" s="2140"/>
      <c r="F51" s="2140"/>
      <c r="G51" s="2143"/>
      <c r="H51" s="2140"/>
      <c r="I51" s="2140"/>
      <c r="J51" s="2140"/>
      <c r="K51" s="2144"/>
      <c r="L51" s="2145"/>
      <c r="M51" s="2127"/>
      <c r="N51" s="2127"/>
      <c r="O51" s="2140"/>
      <c r="P51" s="1554"/>
      <c r="Q51" s="2140"/>
      <c r="R51" s="2140"/>
      <c r="S51" s="2140"/>
      <c r="T51" s="2140"/>
      <c r="U51" s="2140"/>
      <c r="V51" s="2140"/>
      <c r="W51" s="2140"/>
      <c r="X51" s="2140"/>
      <c r="Y51" s="2140"/>
      <c r="Z51" s="2140"/>
      <c r="AA51" s="2140"/>
      <c r="AB51" s="2140"/>
      <c r="AC51" s="2140"/>
    </row>
    <row r="52" spans="1:29" ht="20.25">
      <c r="A52" s="2140"/>
      <c r="B52" s="2140"/>
      <c r="C52" s="2140"/>
      <c r="D52" s="2140"/>
      <c r="E52" s="2140"/>
      <c r="F52" s="2140"/>
      <c r="G52" s="2140"/>
      <c r="H52" s="2140"/>
      <c r="I52" s="2140"/>
      <c r="J52" s="2140"/>
      <c r="K52" s="2144"/>
      <c r="L52" s="2145"/>
      <c r="M52" s="2127"/>
      <c r="N52" s="2127"/>
      <c r="O52" s="2140"/>
      <c r="P52" s="1554"/>
      <c r="Q52" s="2140"/>
      <c r="R52" s="2140"/>
      <c r="S52" s="2140"/>
      <c r="T52" s="2140"/>
      <c r="U52" s="2140"/>
      <c r="V52" s="2140"/>
      <c r="W52" s="2140"/>
      <c r="X52" s="2140"/>
      <c r="Y52" s="2140"/>
      <c r="Z52" s="2140"/>
      <c r="AA52" s="2140"/>
      <c r="AB52" s="2140"/>
      <c r="AC52" s="2140"/>
    </row>
    <row r="53" spans="1:29" ht="13.5" customHeight="1">
      <c r="A53" s="2140"/>
      <c r="B53" s="2140"/>
      <c r="C53" s="620" t="s">
        <v>551</v>
      </c>
      <c r="D53" s="621"/>
      <c r="E53" s="622">
        <f>IF(E48&lt;E49,E49/E48-1,E48/E49-1)</f>
        <v>0.13523019581080375</v>
      </c>
      <c r="F53" s="623" t="str">
        <f>IF(OR(E53&gt;=0.3,E53&lt;=-0.3),"超过30%","")</f>
        <v/>
      </c>
      <c r="G53" s="622">
        <f>IF(G48&lt;G49,G49/G48-1,G48/G49-1)</f>
        <v>0.10118203309692664</v>
      </c>
      <c r="H53" s="623" t="str">
        <f>IF(OR(G53&gt;=0.3,G53&lt;=-0.3),"超过30%","")</f>
        <v/>
      </c>
      <c r="I53" s="622">
        <f>IF(I48&lt;I49,I49/I48-1,I48/I49-1)</f>
        <v>0.13523703909065699</v>
      </c>
      <c r="J53" s="623" t="str">
        <f>IF(OR(I53&gt;=0.3,I53&lt;=-0.3),"超过30%","")</f>
        <v/>
      </c>
      <c r="K53" s="2144"/>
      <c r="L53" s="2145"/>
      <c r="M53" s="2127"/>
      <c r="N53" s="2127"/>
      <c r="O53" s="2140"/>
      <c r="P53" s="1554"/>
      <c r="Q53" s="2140"/>
      <c r="R53" s="2140"/>
      <c r="S53" s="2140"/>
      <c r="T53" s="2140"/>
      <c r="U53" s="2140"/>
      <c r="V53" s="2140"/>
      <c r="W53" s="2140"/>
      <c r="X53" s="2140"/>
      <c r="Y53" s="2140"/>
      <c r="Z53" s="2140"/>
      <c r="AA53" s="2140"/>
      <c r="AB53" s="2140"/>
      <c r="AC53" s="2140"/>
    </row>
    <row r="54" spans="1:29" ht="13.5" customHeight="1">
      <c r="A54" s="2140"/>
      <c r="B54" s="2140"/>
      <c r="C54" s="620" t="s">
        <v>552</v>
      </c>
      <c r="D54" s="624"/>
      <c r="E54" s="622">
        <f>IF(E49&lt;G49,G49/E49-1,E49/G49-1)</f>
        <v>3.1677877963837586E-2</v>
      </c>
      <c r="F54" s="623" t="str">
        <f>IF(OR(E54&gt;=0.2,E54&lt;=-0.2),"超过20%","")</f>
        <v/>
      </c>
      <c r="G54" s="622">
        <f>IF(G49&lt;I49,I49/G49-1,G49/I49-1)</f>
        <v>2.3786265507472981E-2</v>
      </c>
      <c r="H54" s="623" t="str">
        <f>IF(OR(G54&gt;=0.2,G54&lt;=-0.2),"超过20%","")</f>
        <v/>
      </c>
      <c r="I54" s="622">
        <f>IF(I49&lt;E49,E49/I49-1,I49/E49-1)</f>
        <v>5.6217641887271741E-2</v>
      </c>
      <c r="J54" s="623" t="str">
        <f>IF(OR(I54&gt;=0.2,I54&lt;=-0.2),"超过20%","")</f>
        <v/>
      </c>
      <c r="K54" s="2144"/>
      <c r="L54" s="2145"/>
      <c r="M54" s="2127"/>
      <c r="N54" s="2127"/>
      <c r="O54" s="2140"/>
      <c r="P54" s="1554"/>
      <c r="Q54" s="2140"/>
      <c r="R54" s="2140"/>
      <c r="S54" s="2140"/>
      <c r="T54" s="2140"/>
      <c r="U54" s="2140"/>
      <c r="V54" s="2140"/>
      <c r="W54" s="2140"/>
      <c r="X54" s="2140"/>
      <c r="Y54" s="2140"/>
      <c r="Z54" s="2140"/>
      <c r="AA54" s="2140"/>
      <c r="AB54" s="2140"/>
      <c r="AC54" s="2140"/>
    </row>
    <row r="55" spans="1:29" s="1340" customFormat="1" ht="13.5" customHeight="1">
      <c r="A55" s="2141"/>
      <c r="B55" s="2141"/>
      <c r="C55" s="620" t="s">
        <v>553</v>
      </c>
      <c r="D55" s="624"/>
      <c r="E55" s="622">
        <f>IF(E48&lt;G48,G48/E48-1,E48/G48-1)</f>
        <v>7.3548726031003042E-4</v>
      </c>
      <c r="F55" s="623" t="str">
        <f>IF(OR(E55&gt;=0.3,E55&lt;=-0.3),"超过30%","")</f>
        <v/>
      </c>
      <c r="G55" s="622">
        <f>IF(G48&lt;I48,I48/G48-1,G48/I48-1)</f>
        <v>5.544774050457435E-2</v>
      </c>
      <c r="H55" s="623" t="str">
        <f>IF(OR(G55&gt;=0.3,G55&lt;=-0.3),"超过30%","")</f>
        <v/>
      </c>
      <c r="I55" s="622">
        <f>IF(I48&lt;E48,E48/I48-1,I48/E48-1)</f>
        <v>5.6224008871638587E-2</v>
      </c>
      <c r="J55" s="623" t="str">
        <f>IF(OR(I55&gt;=0.3,I55&lt;=-0.3),"超过30%","")</f>
        <v/>
      </c>
      <c r="K55" s="2147"/>
      <c r="L55" s="2148"/>
      <c r="M55" s="2127"/>
      <c r="N55" s="2127"/>
      <c r="O55" s="2141"/>
      <c r="P55" s="1552"/>
      <c r="Q55" s="2141"/>
      <c r="R55" s="2141"/>
      <c r="S55" s="2141"/>
      <c r="T55" s="2141"/>
      <c r="U55" s="2141"/>
      <c r="V55" s="2141"/>
      <c r="W55" s="2141"/>
      <c r="X55" s="2141"/>
      <c r="Y55" s="2141"/>
      <c r="Z55" s="2141"/>
      <c r="AA55" s="2141"/>
      <c r="AB55" s="2141"/>
      <c r="AC55" s="2141"/>
    </row>
    <row r="56" spans="1:29" s="1340" customFormat="1" ht="21" thickBot="1">
      <c r="A56" s="2141"/>
      <c r="B56" s="2142"/>
      <c r="C56" s="2146"/>
      <c r="D56" s="2141"/>
      <c r="E56" s="2141"/>
      <c r="F56" s="2141"/>
      <c r="G56" s="2141"/>
      <c r="H56" s="2141"/>
      <c r="I56" s="2141"/>
      <c r="J56" s="2141"/>
      <c r="K56" s="2147"/>
      <c r="L56" s="2148"/>
      <c r="M56" s="2127"/>
      <c r="N56" s="2127"/>
      <c r="O56" s="2141"/>
      <c r="P56" s="1552"/>
      <c r="Q56" s="2141"/>
      <c r="R56" s="2141"/>
      <c r="S56" s="2141"/>
      <c r="T56" s="2141"/>
      <c r="U56" s="2141"/>
      <c r="V56" s="2141"/>
      <c r="W56" s="2141"/>
      <c r="X56" s="2141"/>
      <c r="Y56" s="2141"/>
      <c r="Z56" s="2141"/>
      <c r="AA56" s="2141"/>
      <c r="AB56" s="2141"/>
      <c r="AC56" s="2141"/>
    </row>
    <row r="57" spans="1:29" ht="26.25" customHeight="1">
      <c r="A57" s="625" t="s">
        <v>554</v>
      </c>
      <c r="B57" s="626" t="s">
        <v>555</v>
      </c>
      <c r="C57" s="1555" t="s">
        <v>1718</v>
      </c>
      <c r="D57" s="2222" t="s">
        <v>2288</v>
      </c>
      <c r="E57" s="627" t="s">
        <v>556</v>
      </c>
      <c r="F57" s="628" t="s">
        <v>557</v>
      </c>
      <c r="G57" s="3447" t="s">
        <v>2276</v>
      </c>
      <c r="H57" s="3448"/>
      <c r="I57" s="1550" t="s">
        <v>1716</v>
      </c>
      <c r="J57" s="1550" t="str">
        <f>项目基本情况!F41</f>
        <v>天津市</v>
      </c>
      <c r="K57" s="2149" t="s">
        <v>1717</v>
      </c>
      <c r="L57" s="2145"/>
      <c r="M57" s="2140"/>
      <c r="N57" s="2140"/>
      <c r="O57" s="2140"/>
      <c r="P57" s="2140"/>
      <c r="Q57" s="2140"/>
      <c r="R57" s="2140"/>
      <c r="S57" s="2140"/>
      <c r="T57" s="2140"/>
      <c r="U57" s="2140"/>
      <c r="V57" s="2140"/>
      <c r="W57" s="2140"/>
      <c r="X57" s="2140"/>
      <c r="Y57" s="2140"/>
      <c r="Z57" s="2140"/>
      <c r="AA57" s="2140"/>
      <c r="AB57" s="2140"/>
      <c r="AC57" s="2140"/>
    </row>
    <row r="58" spans="1:29" s="1341" customFormat="1" ht="12.75">
      <c r="A58" s="629" t="s">
        <v>558</v>
      </c>
      <c r="B58" s="630">
        <f>C50</f>
        <v>21020</v>
      </c>
      <c r="C58" s="631">
        <v>1</v>
      </c>
      <c r="D58" s="2223">
        <v>1</v>
      </c>
      <c r="E58" s="631">
        <f>'数据-汇总表'!E8+'数据-汇总表'!E9</f>
        <v>275204</v>
      </c>
      <c r="F58" s="632">
        <f t="shared" ref="F58:F67" si="15">ROUND(B58*E58/10000,0)</f>
        <v>578479</v>
      </c>
      <c r="G58" s="3449"/>
      <c r="H58" s="3450"/>
      <c r="I58" s="1551">
        <v>1</v>
      </c>
      <c r="J58" s="1551">
        <v>1</v>
      </c>
      <c r="K58" s="2150"/>
      <c r="L58" s="2150"/>
      <c r="M58" s="2150"/>
      <c r="N58" s="2150"/>
      <c r="O58" s="2150"/>
      <c r="P58" s="2150"/>
      <c r="Q58" s="2150"/>
      <c r="R58" s="2150"/>
      <c r="S58" s="2150"/>
      <c r="T58" s="2150"/>
      <c r="U58" s="2150"/>
      <c r="V58" s="2150"/>
      <c r="W58" s="2150"/>
      <c r="X58" s="2150"/>
      <c r="Y58" s="2150"/>
      <c r="Z58" s="2150"/>
      <c r="AA58" s="2150"/>
      <c r="AB58" s="2150"/>
      <c r="AC58" s="2150"/>
    </row>
    <row r="59" spans="1:29" s="1341" customFormat="1" ht="12.75">
      <c r="A59" s="633" t="s">
        <v>559</v>
      </c>
      <c r="B59" s="634">
        <f>ROUND($C$50*C59*D59,0)</f>
        <v>0</v>
      </c>
      <c r="C59" s="376">
        <f t="shared" ref="C59:C67" si="16">IF($C$57="北京市系数",I59,J59)</f>
        <v>0</v>
      </c>
      <c r="D59" s="2224">
        <v>0.25</v>
      </c>
      <c r="E59" s="635">
        <v>0</v>
      </c>
      <c r="F59" s="632">
        <f t="shared" si="15"/>
        <v>0</v>
      </c>
      <c r="G59" s="3451" t="s">
        <v>2277</v>
      </c>
      <c r="H59" s="1943">
        <f>项目基本情况!B43</f>
        <v>0</v>
      </c>
      <c r="I59" s="1551">
        <f>SUMIF(修正!$A$45:$A$56,H59,修正!B45:B56)</f>
        <v>0</v>
      </c>
      <c r="J59" s="1553"/>
      <c r="K59" s="2150"/>
      <c r="L59" s="2150"/>
      <c r="M59" s="2150"/>
      <c r="N59" s="2150"/>
      <c r="O59" s="2150"/>
      <c r="P59" s="2150"/>
      <c r="Q59" s="2150"/>
      <c r="R59" s="2150"/>
      <c r="S59" s="2150"/>
      <c r="T59" s="2150"/>
      <c r="U59" s="2150"/>
      <c r="V59" s="2150"/>
      <c r="W59" s="2150"/>
      <c r="X59" s="2150"/>
      <c r="Y59" s="2150"/>
      <c r="Z59" s="2150"/>
      <c r="AA59" s="2150"/>
      <c r="AB59" s="2150"/>
      <c r="AC59" s="2150"/>
    </row>
    <row r="60" spans="1:29" s="1341" customFormat="1" ht="12.75">
      <c r="A60" s="633" t="s">
        <v>560</v>
      </c>
      <c r="B60" s="634">
        <f t="shared" ref="B60:B67" si="17">ROUND($C$50*C60*D60,0)</f>
        <v>0</v>
      </c>
      <c r="C60" s="376">
        <f t="shared" si="16"/>
        <v>0</v>
      </c>
      <c r="D60" s="2224">
        <v>0.25</v>
      </c>
      <c r="E60" s="635">
        <v>0</v>
      </c>
      <c r="F60" s="632">
        <f t="shared" si="15"/>
        <v>0</v>
      </c>
      <c r="G60" s="3451"/>
      <c r="H60" s="1943">
        <f>项目基本情况!B43</f>
        <v>0</v>
      </c>
      <c r="I60" s="1551">
        <f>SUMIF(修正!$A$45:$A$56,H60,修正!C45:C56)</f>
        <v>0</v>
      </c>
      <c r="J60" s="1553"/>
      <c r="K60" s="2150"/>
      <c r="L60" s="2150"/>
      <c r="M60" s="2150"/>
      <c r="N60" s="2150"/>
      <c r="O60" s="2150"/>
      <c r="P60" s="2150"/>
      <c r="Q60" s="2150"/>
      <c r="R60" s="2150"/>
      <c r="S60" s="2150"/>
      <c r="T60" s="2150"/>
      <c r="U60" s="2150"/>
      <c r="V60" s="2150"/>
      <c r="W60" s="2150"/>
      <c r="X60" s="2150"/>
      <c r="Y60" s="2150"/>
      <c r="Z60" s="2150"/>
      <c r="AA60" s="2150"/>
      <c r="AB60" s="2150"/>
      <c r="AC60" s="2150"/>
    </row>
    <row r="61" spans="1:29" s="1341" customFormat="1" ht="12.75">
      <c r="A61" s="633" t="s">
        <v>561</v>
      </c>
      <c r="B61" s="634">
        <f t="shared" si="17"/>
        <v>0</v>
      </c>
      <c r="C61" s="376">
        <f t="shared" si="16"/>
        <v>0</v>
      </c>
      <c r="D61" s="2224">
        <v>0.25</v>
      </c>
      <c r="E61" s="635">
        <v>0</v>
      </c>
      <c r="F61" s="632">
        <f t="shared" si="15"/>
        <v>0</v>
      </c>
      <c r="G61" s="3451"/>
      <c r="H61" s="1943">
        <f>项目基本情况!B43</f>
        <v>0</v>
      </c>
      <c r="I61" s="1551">
        <f>SUMIF(修正!$A$45:$A$56,H61,修正!D45:D56)</f>
        <v>0</v>
      </c>
      <c r="J61" s="1553"/>
      <c r="K61" s="2150"/>
      <c r="L61" s="2150"/>
      <c r="M61" s="2150"/>
      <c r="N61" s="2150"/>
      <c r="O61" s="2150"/>
      <c r="P61" s="2150"/>
      <c r="Q61" s="2150"/>
      <c r="R61" s="2150"/>
      <c r="S61" s="2150"/>
      <c r="T61" s="2150"/>
      <c r="U61" s="2150"/>
      <c r="V61" s="2150"/>
      <c r="W61" s="2150"/>
      <c r="X61" s="2150"/>
      <c r="Y61" s="2150"/>
      <c r="Z61" s="2150"/>
      <c r="AA61" s="2150"/>
      <c r="AB61" s="2150"/>
      <c r="AC61" s="2150"/>
    </row>
    <row r="62" spans="1:29" s="1341" customFormat="1" ht="12.75">
      <c r="A62" s="633" t="s">
        <v>562</v>
      </c>
      <c r="B62" s="634">
        <f t="shared" si="17"/>
        <v>0</v>
      </c>
      <c r="C62" s="376">
        <f t="shared" si="16"/>
        <v>0</v>
      </c>
      <c r="D62" s="2224">
        <v>0.25</v>
      </c>
      <c r="E62" s="635">
        <v>0</v>
      </c>
      <c r="F62" s="632">
        <f t="shared" si="15"/>
        <v>0</v>
      </c>
      <c r="G62" s="3451"/>
      <c r="H62" s="1943">
        <f>项目基本情况!B43</f>
        <v>0</v>
      </c>
      <c r="I62" s="1551">
        <f>SUMIF(修正!$A$45:$A$56,H62,修正!E45:E56)</f>
        <v>0</v>
      </c>
      <c r="J62" s="1553"/>
      <c r="K62" s="2150"/>
      <c r="L62" s="2150"/>
      <c r="M62" s="2150"/>
      <c r="N62" s="2150"/>
      <c r="O62" s="2150"/>
      <c r="P62" s="2150"/>
      <c r="Q62" s="2150"/>
      <c r="R62" s="2150"/>
      <c r="S62" s="2150"/>
      <c r="T62" s="2150"/>
      <c r="U62" s="2150"/>
      <c r="V62" s="2150"/>
      <c r="W62" s="2150"/>
      <c r="X62" s="2150"/>
      <c r="Y62" s="2150"/>
      <c r="Z62" s="2150"/>
      <c r="AA62" s="2150"/>
      <c r="AB62" s="2150"/>
      <c r="AC62" s="2150"/>
    </row>
    <row r="63" spans="1:29" s="1341" customFormat="1" ht="12.75">
      <c r="A63" s="2326" t="s">
        <v>2322</v>
      </c>
      <c r="B63" s="634">
        <f t="shared" si="17"/>
        <v>0</v>
      </c>
      <c r="C63" s="376">
        <f t="shared" si="16"/>
        <v>0</v>
      </c>
      <c r="D63" s="2224">
        <v>0.25</v>
      </c>
      <c r="E63" s="637">
        <f>'数据-汇总表'!E11</f>
        <v>0</v>
      </c>
      <c r="F63" s="632">
        <f t="shared" si="15"/>
        <v>0</v>
      </c>
      <c r="G63" s="1940" t="s">
        <v>2278</v>
      </c>
      <c r="H63" s="1943">
        <f>项目基本情况!C43</f>
        <v>0</v>
      </c>
      <c r="I63" s="1551">
        <f>SUMIF(修正!$A$45:$A$56,H63,修正!F45:F56)</f>
        <v>0</v>
      </c>
      <c r="J63" s="1553"/>
      <c r="K63" s="2150"/>
      <c r="L63" s="2150"/>
      <c r="M63" s="2150"/>
      <c r="N63" s="2150"/>
      <c r="O63" s="2150"/>
      <c r="P63" s="2150"/>
      <c r="Q63" s="2150"/>
      <c r="R63" s="2150"/>
      <c r="S63" s="2150"/>
      <c r="T63" s="2150"/>
      <c r="U63" s="2150"/>
      <c r="V63" s="2150"/>
      <c r="W63" s="2150"/>
      <c r="X63" s="2150"/>
      <c r="Y63" s="2150"/>
      <c r="Z63" s="2150"/>
      <c r="AA63" s="2150"/>
      <c r="AB63" s="2150"/>
      <c r="AC63" s="2150"/>
    </row>
    <row r="64" spans="1:29" s="1341" customFormat="1" ht="12.75">
      <c r="A64" s="633" t="s">
        <v>563</v>
      </c>
      <c r="B64" s="634">
        <f t="shared" si="17"/>
        <v>0</v>
      </c>
      <c r="C64" s="376">
        <f t="shared" si="16"/>
        <v>0</v>
      </c>
      <c r="D64" s="2224">
        <v>0.25</v>
      </c>
      <c r="E64" s="637">
        <f>'数据-汇总表'!E12</f>
        <v>0</v>
      </c>
      <c r="F64" s="632">
        <f t="shared" si="15"/>
        <v>0</v>
      </c>
      <c r="G64" s="1941" t="s">
        <v>1671</v>
      </c>
      <c r="H64" s="1939">
        <f>IF(G64="商业",项目基本情况!B43,IF(G64="办公",项目基本情况!C43,IF(G64="住宅",项目基本情况!D43,项目基本情况!E43)))</f>
        <v>0</v>
      </c>
      <c r="I64" s="1551">
        <f>SUMIF(修正!$A$45:$A$56,H64,修正!G45:G56)</f>
        <v>0</v>
      </c>
      <c r="J64" s="1553"/>
      <c r="K64" s="2150"/>
      <c r="L64" s="2150"/>
      <c r="M64" s="2150"/>
      <c r="N64" s="2150"/>
      <c r="O64" s="2150"/>
      <c r="P64" s="2150"/>
      <c r="Q64" s="2150"/>
      <c r="R64" s="2150"/>
      <c r="S64" s="2150"/>
      <c r="T64" s="2150"/>
      <c r="U64" s="2150"/>
      <c r="V64" s="2150"/>
      <c r="W64" s="2150"/>
      <c r="X64" s="2150"/>
      <c r="Y64" s="2150"/>
      <c r="Z64" s="2150"/>
      <c r="AA64" s="2150"/>
      <c r="AB64" s="2150"/>
      <c r="AC64" s="2150"/>
    </row>
    <row r="65" spans="1:29" s="1341" customFormat="1" ht="12.75">
      <c r="A65" s="633" t="s">
        <v>564</v>
      </c>
      <c r="B65" s="634">
        <f t="shared" si="17"/>
        <v>0</v>
      </c>
      <c r="C65" s="376">
        <f t="shared" si="16"/>
        <v>0</v>
      </c>
      <c r="D65" s="2224">
        <v>0.25</v>
      </c>
      <c r="E65" s="637">
        <f>'数据-汇总表'!E13</f>
        <v>90459.22</v>
      </c>
      <c r="F65" s="632">
        <f t="shared" si="15"/>
        <v>0</v>
      </c>
      <c r="G65" s="1941" t="s">
        <v>916</v>
      </c>
      <c r="H65" s="1939">
        <f>IF(G65="商业",项目基本情况!B43,IF(G65="办公",项目基本情况!C43,IF(G65="住宅",项目基本情况!D43,项目基本情况!E43)))</f>
        <v>0</v>
      </c>
      <c r="I65" s="1551">
        <f>SUMIF(修正!$A$45:$A$56,H65,修正!H45:H56)</f>
        <v>0</v>
      </c>
      <c r="J65" s="1553"/>
      <c r="K65" s="2150"/>
      <c r="L65" s="2150"/>
      <c r="M65" s="2150"/>
      <c r="N65" s="2150"/>
      <c r="O65" s="2150"/>
      <c r="P65" s="2150"/>
      <c r="Q65" s="2150"/>
      <c r="R65" s="2150"/>
      <c r="S65" s="2150"/>
      <c r="T65" s="2150"/>
      <c r="U65" s="2150"/>
      <c r="V65" s="2150"/>
      <c r="W65" s="2150"/>
      <c r="X65" s="2150"/>
      <c r="Y65" s="2150"/>
      <c r="Z65" s="2150"/>
      <c r="AA65" s="2150"/>
      <c r="AB65" s="2150"/>
      <c r="AC65" s="2150"/>
    </row>
    <row r="66" spans="1:29" s="1341" customFormat="1" ht="12.75">
      <c r="A66" s="633" t="s">
        <v>565</v>
      </c>
      <c r="B66" s="634">
        <f t="shared" si="17"/>
        <v>0</v>
      </c>
      <c r="C66" s="376">
        <f t="shared" si="16"/>
        <v>0</v>
      </c>
      <c r="D66" s="2224">
        <v>0.25</v>
      </c>
      <c r="E66" s="637">
        <f>'数据-汇总表'!E14</f>
        <v>0</v>
      </c>
      <c r="F66" s="632">
        <f t="shared" si="15"/>
        <v>0</v>
      </c>
      <c r="G66" s="1940" t="s">
        <v>2277</v>
      </c>
      <c r="H66" s="1943">
        <f>项目基本情况!B43</f>
        <v>0</v>
      </c>
      <c r="I66" s="1551">
        <f>SUMIF(修正!$A$45:$A$56,H66,修正!H45:H56)</f>
        <v>0</v>
      </c>
      <c r="J66" s="1553"/>
      <c r="K66" s="2150"/>
      <c r="L66" s="2150"/>
      <c r="M66" s="2150"/>
      <c r="N66" s="2150"/>
      <c r="O66" s="2150"/>
      <c r="P66" s="2150"/>
      <c r="Q66" s="2150"/>
      <c r="R66" s="2150"/>
      <c r="S66" s="2150"/>
      <c r="T66" s="2150"/>
      <c r="U66" s="2150"/>
      <c r="V66" s="2150"/>
      <c r="W66" s="2150"/>
      <c r="X66" s="2150"/>
      <c r="Y66" s="2150"/>
      <c r="Z66" s="2150"/>
      <c r="AA66" s="2150"/>
      <c r="AB66" s="2150"/>
      <c r="AC66" s="2150"/>
    </row>
    <row r="67" spans="1:29" s="1341" customFormat="1" ht="13.5" thickBot="1">
      <c r="A67" s="633" t="s">
        <v>566</v>
      </c>
      <c r="B67" s="634">
        <f t="shared" si="17"/>
        <v>0</v>
      </c>
      <c r="C67" s="376">
        <f t="shared" si="16"/>
        <v>0</v>
      </c>
      <c r="D67" s="2224">
        <v>0.25</v>
      </c>
      <c r="E67" s="637">
        <f>'数据-汇总表'!E15</f>
        <v>0</v>
      </c>
      <c r="F67" s="632">
        <f t="shared" si="15"/>
        <v>0</v>
      </c>
      <c r="G67" s="1942" t="s">
        <v>2278</v>
      </c>
      <c r="H67" s="1944">
        <f>项目基本情况!C43</f>
        <v>0</v>
      </c>
      <c r="I67" s="1551">
        <f>SUMIF(修正!$A$45:$A$56,H67,修正!H45:H56)</f>
        <v>0</v>
      </c>
      <c r="J67" s="1553"/>
      <c r="K67" s="2150"/>
      <c r="L67" s="2150"/>
      <c r="M67" s="2150"/>
      <c r="N67" s="2150"/>
      <c r="O67" s="2150"/>
      <c r="P67" s="2150"/>
      <c r="Q67" s="2150"/>
      <c r="R67" s="2150"/>
      <c r="S67" s="2150"/>
      <c r="T67" s="2150"/>
      <c r="U67" s="2150"/>
      <c r="V67" s="2150"/>
      <c r="W67" s="2150"/>
      <c r="X67" s="2150"/>
      <c r="Y67" s="2150"/>
      <c r="Z67" s="2150"/>
      <c r="AA67" s="2150"/>
      <c r="AB67" s="2150"/>
      <c r="AC67" s="2150"/>
    </row>
    <row r="68" spans="1:29" s="1341" customFormat="1" ht="13.5" thickBot="1">
      <c r="A68" s="638" t="s">
        <v>567</v>
      </c>
      <c r="B68" s="639" t="s">
        <v>17</v>
      </c>
      <c r="C68" s="639" t="s">
        <v>18</v>
      </c>
      <c r="D68" s="639" t="s">
        <v>2289</v>
      </c>
      <c r="E68" s="639">
        <f>IF(B48="楼面地价",SUM(E58:E67),'数据-汇总表'!D3)</f>
        <v>365663.22</v>
      </c>
      <c r="F68" s="640">
        <f>IF(B48="楼面地价",SUM(F58:F67),ROUND(C50*E68/10000,0))</f>
        <v>578479</v>
      </c>
      <c r="G68" s="2151"/>
      <c r="H68" s="2151"/>
      <c r="I68" s="2151"/>
      <c r="J68" s="2151"/>
      <c r="K68" s="2151"/>
      <c r="L68" s="2150"/>
      <c r="M68" s="2150"/>
      <c r="N68" s="2150"/>
      <c r="O68" s="2150"/>
      <c r="P68" s="2150"/>
      <c r="Q68" s="2150"/>
      <c r="R68" s="2150"/>
      <c r="S68" s="2150"/>
      <c r="T68" s="2150"/>
      <c r="U68" s="2150"/>
      <c r="V68" s="2150"/>
      <c r="W68" s="2150"/>
      <c r="X68" s="2150"/>
      <c r="Y68" s="2150"/>
      <c r="Z68" s="2150"/>
      <c r="AA68" s="2150"/>
      <c r="AB68" s="2150"/>
      <c r="AC68" s="2150"/>
    </row>
    <row r="69" spans="1:29">
      <c r="A69" s="2140"/>
      <c r="B69" s="2142"/>
      <c r="C69" s="2146"/>
      <c r="D69" s="2140"/>
      <c r="E69" s="2140"/>
      <c r="F69" s="2140"/>
      <c r="G69" s="2140"/>
      <c r="H69" s="2140"/>
      <c r="I69" s="2140"/>
      <c r="J69" s="2140"/>
      <c r="K69" s="2144"/>
      <c r="L69" s="2145"/>
      <c r="M69" s="2140"/>
      <c r="N69" s="2140"/>
      <c r="O69" s="2140"/>
      <c r="P69" s="2140"/>
      <c r="Q69" s="2140"/>
      <c r="R69" s="2140"/>
      <c r="S69" s="2140"/>
      <c r="T69" s="2140"/>
      <c r="U69" s="2140"/>
      <c r="V69" s="2140"/>
      <c r="W69" s="2140"/>
      <c r="X69" s="2140"/>
      <c r="Y69" s="2140"/>
      <c r="Z69" s="2140"/>
      <c r="AA69" s="2140"/>
      <c r="AB69" s="2140"/>
      <c r="AC69" s="2140"/>
    </row>
    <row r="70" spans="1:29">
      <c r="A70" s="2140"/>
      <c r="B70" s="2142"/>
      <c r="C70" s="2820" t="str">
        <f>YEAR(C9)&amp;"-"&amp;MONTH(C9)&amp;"-1"</f>
        <v>2017-10-1</v>
      </c>
      <c r="D70" s="2820">
        <f>EDATE(C70,-3)</f>
        <v>42917</v>
      </c>
      <c r="E70" s="2820">
        <f t="shared" ref="E70:N70" si="18">EDATE(D70,-3)</f>
        <v>42826</v>
      </c>
      <c r="F70" s="2820">
        <f t="shared" si="18"/>
        <v>42736</v>
      </c>
      <c r="G70" s="2820">
        <f t="shared" si="18"/>
        <v>42644</v>
      </c>
      <c r="H70" s="2820">
        <f t="shared" si="18"/>
        <v>42552</v>
      </c>
      <c r="I70" s="2820">
        <f t="shared" si="18"/>
        <v>42461</v>
      </c>
      <c r="J70" s="2820">
        <f t="shared" si="18"/>
        <v>42370</v>
      </c>
      <c r="K70" s="2820">
        <f t="shared" si="18"/>
        <v>42278</v>
      </c>
      <c r="L70" s="2820">
        <f t="shared" si="18"/>
        <v>42186</v>
      </c>
      <c r="M70" s="2820">
        <f t="shared" si="18"/>
        <v>42095</v>
      </c>
      <c r="N70" s="2820">
        <f t="shared" si="18"/>
        <v>42005</v>
      </c>
      <c r="O70" s="2140"/>
      <c r="P70" s="2140"/>
      <c r="Q70" s="2140"/>
      <c r="R70" s="2140"/>
      <c r="S70" s="2140"/>
      <c r="T70" s="2140"/>
      <c r="U70" s="2140"/>
      <c r="V70" s="2140"/>
      <c r="W70" s="2140"/>
      <c r="X70" s="2140"/>
      <c r="Y70" s="2140"/>
      <c r="Z70" s="2140"/>
      <c r="AA70" s="2140"/>
      <c r="AB70" s="2140"/>
      <c r="AC70" s="2140"/>
    </row>
    <row r="71" spans="1:29" ht="21.75" thickBot="1">
      <c r="A71" s="1579" t="s">
        <v>568</v>
      </c>
      <c r="B71" s="1554"/>
      <c r="C71" s="1578"/>
      <c r="D71" s="1578"/>
      <c r="E71" s="1578"/>
      <c r="F71" s="1580"/>
      <c r="G71" s="1580"/>
      <c r="H71" s="1578"/>
      <c r="I71" s="1578"/>
      <c r="J71" s="1578"/>
      <c r="K71" s="1581"/>
      <c r="L71" s="1577"/>
      <c r="M71" s="1578"/>
      <c r="N71" s="1578"/>
      <c r="O71" s="2152"/>
      <c r="P71" s="2152"/>
      <c r="Q71" s="2153"/>
      <c r="R71" s="2140"/>
      <c r="S71" s="2140"/>
      <c r="T71" s="2140"/>
      <c r="U71" s="2140"/>
      <c r="V71" s="2140"/>
      <c r="W71" s="2140"/>
      <c r="X71" s="2140"/>
      <c r="Y71" s="2140"/>
      <c r="Z71" s="2140"/>
      <c r="AA71" s="2140"/>
      <c r="AB71" s="2140"/>
      <c r="AC71" s="2140"/>
    </row>
    <row r="72" spans="1:29" s="1342" customFormat="1" ht="15">
      <c r="A72" s="2587" t="s">
        <v>2529</v>
      </c>
      <c r="B72" s="2588"/>
      <c r="C72" s="2815" t="str">
        <f>YEAR(C70)&amp;"-"&amp;ROUNDUP(MONTH(C70)/3,0)</f>
        <v>2017-4</v>
      </c>
      <c r="D72" s="2822" t="str">
        <f>YEAR(D70)&amp;"-"&amp;ROUNDUP(MONTH(D70)/3,0)</f>
        <v>2017-3</v>
      </c>
      <c r="E72" s="2822" t="str">
        <f t="shared" ref="E72:N72" si="19">YEAR(E70)&amp;"-"&amp;ROUNDUP(MONTH(E70)/3,0)</f>
        <v>2017-2</v>
      </c>
      <c r="F72" s="2822" t="str">
        <f t="shared" si="19"/>
        <v>2017-1</v>
      </c>
      <c r="G72" s="2822" t="str">
        <f t="shared" si="19"/>
        <v>2016-4</v>
      </c>
      <c r="H72" s="2822" t="str">
        <f t="shared" si="19"/>
        <v>2016-3</v>
      </c>
      <c r="I72" s="2822" t="str">
        <f t="shared" si="19"/>
        <v>2016-2</v>
      </c>
      <c r="J72" s="2822" t="str">
        <f t="shared" si="19"/>
        <v>2016-1</v>
      </c>
      <c r="K72" s="2822" t="str">
        <f t="shared" si="19"/>
        <v>2015-4</v>
      </c>
      <c r="L72" s="2822" t="str">
        <f t="shared" si="19"/>
        <v>2015-3</v>
      </c>
      <c r="M72" s="2822" t="str">
        <f t="shared" si="19"/>
        <v>2015-2</v>
      </c>
      <c r="N72" s="2822" t="str">
        <f t="shared" si="19"/>
        <v>2015-1</v>
      </c>
      <c r="O72" s="2154"/>
      <c r="P72" s="2155"/>
      <c r="Q72" s="2156"/>
      <c r="R72" s="2156"/>
      <c r="S72" s="2156"/>
      <c r="T72" s="2156"/>
      <c r="U72" s="2156"/>
      <c r="V72" s="2156"/>
      <c r="W72" s="2156"/>
      <c r="X72" s="2156"/>
      <c r="Y72" s="2156"/>
      <c r="Z72" s="2156"/>
      <c r="AA72" s="2156"/>
      <c r="AB72" s="2156"/>
      <c r="AC72" s="2156"/>
    </row>
    <row r="73" spans="1:29" s="1215" customFormat="1" ht="27" customHeight="1">
      <c r="A73" s="2827" t="s">
        <v>2646</v>
      </c>
      <c r="B73" s="477" t="str">
        <f>"北京市平均增长率"&amp;TEXT(SUMIF(基准地价!N21:N25,A73,基准地价!P21:P25),"0.00%")</f>
        <v>北京市平均增长率2.49%</v>
      </c>
      <c r="C73" s="889">
        <v>100</v>
      </c>
      <c r="D73" s="726">
        <v>99.5</v>
      </c>
      <c r="E73" s="726">
        <v>99</v>
      </c>
      <c r="F73" s="726">
        <v>98.5</v>
      </c>
      <c r="G73" s="726">
        <v>98</v>
      </c>
      <c r="H73" s="726">
        <v>97.5</v>
      </c>
      <c r="I73" s="726">
        <v>97</v>
      </c>
      <c r="J73" s="726">
        <v>96.5</v>
      </c>
      <c r="K73" s="726">
        <v>96</v>
      </c>
      <c r="L73" s="726">
        <v>95.5</v>
      </c>
      <c r="M73" s="2813">
        <v>95</v>
      </c>
      <c r="N73" s="2814"/>
      <c r="O73" s="2157"/>
      <c r="P73" s="2153"/>
      <c r="Q73" s="1988"/>
      <c r="R73" s="1988"/>
      <c r="S73" s="1988"/>
      <c r="T73" s="1988"/>
      <c r="U73" s="1988"/>
      <c r="V73" s="1988"/>
      <c r="W73" s="1988"/>
      <c r="X73" s="1988"/>
      <c r="Y73" s="1988"/>
      <c r="Z73" s="1988"/>
      <c r="AA73" s="1988"/>
      <c r="AB73" s="1988"/>
      <c r="AC73" s="1988"/>
    </row>
    <row r="74" spans="1:29" s="1215" customFormat="1" ht="15" customHeight="1" thickBot="1">
      <c r="A74" s="2817" t="s">
        <v>2645</v>
      </c>
      <c r="B74" s="2826"/>
      <c r="C74" s="2811"/>
      <c r="D74" s="2812"/>
      <c r="E74" s="2812"/>
      <c r="F74" s="2812"/>
      <c r="G74" s="2812"/>
      <c r="H74" s="2812"/>
      <c r="I74" s="2812"/>
      <c r="J74" s="2812"/>
      <c r="K74" s="2812"/>
      <c r="L74" s="2812"/>
      <c r="M74" s="2812"/>
      <c r="N74" s="2812"/>
      <c r="O74" s="2157"/>
      <c r="P74" s="2153"/>
      <c r="Q74" s="2153"/>
      <c r="R74" s="1988"/>
      <c r="S74" s="1988"/>
      <c r="T74" s="1988"/>
      <c r="U74" s="1988"/>
      <c r="V74" s="1988"/>
      <c r="W74" s="1988"/>
      <c r="X74" s="1988"/>
      <c r="Y74" s="1988"/>
      <c r="Z74" s="1988"/>
      <c r="AA74" s="1988"/>
      <c r="AB74" s="1988"/>
      <c r="AC74" s="1988"/>
    </row>
    <row r="75" spans="1:29" s="1215" customFormat="1" ht="15">
      <c r="A75" s="655" t="s">
        <v>525</v>
      </c>
      <c r="B75" s="644"/>
      <c r="C75" s="656" t="s">
        <v>570</v>
      </c>
      <c r="D75" s="657"/>
      <c r="E75" s="657"/>
      <c r="F75" s="657"/>
      <c r="G75" s="657"/>
      <c r="H75" s="657"/>
      <c r="I75" s="657"/>
      <c r="J75" s="657"/>
      <c r="K75" s="657"/>
      <c r="L75" s="658"/>
      <c r="M75" s="659"/>
      <c r="N75" s="2157"/>
      <c r="O75" s="2157"/>
      <c r="P75" s="2158"/>
      <c r="Q75" s="2153"/>
      <c r="R75" s="1988"/>
      <c r="S75" s="1988"/>
      <c r="T75" s="1988"/>
      <c r="U75" s="1988"/>
      <c r="V75" s="1988"/>
      <c r="W75" s="1988"/>
      <c r="X75" s="1988"/>
      <c r="Y75" s="1988"/>
      <c r="Z75" s="1988"/>
      <c r="AA75" s="1988"/>
      <c r="AB75" s="1988"/>
      <c r="AC75" s="1988"/>
    </row>
    <row r="76" spans="1:29" s="1215" customFormat="1" ht="15.75" thickBot="1">
      <c r="A76" s="655"/>
      <c r="B76" s="644"/>
      <c r="C76" s="645">
        <v>100</v>
      </c>
      <c r="D76" s="646"/>
      <c r="E76" s="646"/>
      <c r="F76" s="646"/>
      <c r="G76" s="646"/>
      <c r="H76" s="646"/>
      <c r="I76" s="646"/>
      <c r="J76" s="646"/>
      <c r="K76" s="646"/>
      <c r="L76" s="646"/>
      <c r="M76" s="648"/>
      <c r="N76" s="2157"/>
      <c r="O76" s="2157"/>
      <c r="P76" s="2153"/>
      <c r="Q76" s="2153"/>
      <c r="R76" s="1988"/>
      <c r="S76" s="1988"/>
      <c r="T76" s="1988"/>
      <c r="U76" s="1988"/>
      <c r="V76" s="1988"/>
      <c r="W76" s="1988"/>
      <c r="X76" s="1988"/>
      <c r="Y76" s="1988"/>
      <c r="Z76" s="1988"/>
      <c r="AA76" s="1988"/>
      <c r="AB76" s="1988"/>
      <c r="AC76" s="1988"/>
    </row>
    <row r="77" spans="1:29">
      <c r="A77" s="660" t="s">
        <v>571</v>
      </c>
      <c r="B77" s="661" t="s">
        <v>528</v>
      </c>
      <c r="C77" s="594" t="s">
        <v>3007</v>
      </c>
      <c r="D77" s="3156" t="s">
        <v>3008</v>
      </c>
      <c r="E77" s="3157" t="s">
        <v>3009</v>
      </c>
      <c r="F77" s="594"/>
      <c r="G77" s="594"/>
      <c r="H77" s="594"/>
      <c r="I77" s="594"/>
      <c r="J77" s="594"/>
      <c r="K77" s="662"/>
      <c r="L77" s="663"/>
      <c r="M77" s="664"/>
      <c r="N77" s="2159"/>
      <c r="O77" s="2159"/>
      <c r="P77" s="2160"/>
      <c r="Q77" s="2153"/>
      <c r="R77" s="2140"/>
      <c r="S77" s="2140"/>
      <c r="T77" s="2140"/>
      <c r="U77" s="2140"/>
      <c r="V77" s="2140"/>
      <c r="W77" s="2140"/>
      <c r="X77" s="2140"/>
      <c r="Y77" s="2140"/>
      <c r="Z77" s="2140"/>
      <c r="AA77" s="2140"/>
      <c r="AB77" s="2140"/>
      <c r="AC77" s="2140"/>
    </row>
    <row r="78" spans="1:29" ht="15.75" thickBot="1">
      <c r="A78" s="665"/>
      <c r="B78" s="666"/>
      <c r="C78" s="667">
        <v>100</v>
      </c>
      <c r="D78" s="667">
        <v>101</v>
      </c>
      <c r="E78" s="667">
        <v>102</v>
      </c>
      <c r="F78" s="667"/>
      <c r="G78" s="667"/>
      <c r="H78" s="667"/>
      <c r="I78" s="667"/>
      <c r="J78" s="667"/>
      <c r="K78" s="667"/>
      <c r="L78" s="667"/>
      <c r="M78" s="668"/>
      <c r="N78" s="2161"/>
      <c r="O78" s="2161"/>
      <c r="P78" s="2160"/>
      <c r="Q78" s="2153"/>
      <c r="R78" s="2140"/>
      <c r="S78" s="2140"/>
      <c r="T78" s="2140"/>
      <c r="U78" s="2140"/>
      <c r="V78" s="2140"/>
      <c r="W78" s="2140"/>
      <c r="X78" s="2140"/>
      <c r="Y78" s="2140"/>
      <c r="Z78" s="2140"/>
      <c r="AA78" s="2140"/>
      <c r="AB78" s="2140"/>
      <c r="AC78" s="2140"/>
    </row>
    <row r="79" spans="1:29" ht="27.75" thickTop="1">
      <c r="A79" s="665"/>
      <c r="B79" s="669" t="s">
        <v>531</v>
      </c>
      <c r="C79" s="670"/>
      <c r="D79" s="670"/>
      <c r="E79" s="670"/>
      <c r="F79" s="670"/>
      <c r="G79" s="670"/>
      <c r="H79" s="670"/>
      <c r="I79" s="670"/>
      <c r="J79" s="670"/>
      <c r="K79" s="671"/>
      <c r="L79" s="672"/>
      <c r="M79" s="673"/>
      <c r="N79" s="2159"/>
      <c r="O79" s="2159"/>
      <c r="P79" s="2160"/>
      <c r="Q79" s="2153"/>
      <c r="R79" s="2140"/>
      <c r="S79" s="2140"/>
      <c r="T79" s="2140"/>
      <c r="U79" s="2140"/>
      <c r="V79" s="2140"/>
      <c r="W79" s="2140"/>
      <c r="X79" s="2140"/>
      <c r="Y79" s="2140"/>
      <c r="Z79" s="2140"/>
      <c r="AA79" s="2140"/>
      <c r="AB79" s="2140"/>
      <c r="AC79" s="2140"/>
    </row>
    <row r="80" spans="1:29" ht="15.75" thickBot="1">
      <c r="A80" s="665"/>
      <c r="B80" s="674"/>
      <c r="C80" s="675"/>
      <c r="D80" s="675"/>
      <c r="E80" s="675"/>
      <c r="F80" s="675"/>
      <c r="G80" s="675"/>
      <c r="H80" s="675"/>
      <c r="I80" s="675"/>
      <c r="J80" s="675"/>
      <c r="K80" s="675"/>
      <c r="L80" s="675"/>
      <c r="M80" s="676"/>
      <c r="N80" s="2161"/>
      <c r="O80" s="2161"/>
      <c r="P80" s="2160"/>
      <c r="Q80" s="2153"/>
      <c r="R80" s="2140"/>
      <c r="S80" s="2140"/>
      <c r="T80" s="2140"/>
      <c r="U80" s="2140"/>
      <c r="V80" s="2140"/>
      <c r="W80" s="2140"/>
      <c r="X80" s="2140"/>
      <c r="Y80" s="2140"/>
      <c r="Z80" s="2140"/>
      <c r="AA80" s="2140"/>
      <c r="AB80" s="2140"/>
      <c r="AC80" s="2140"/>
    </row>
    <row r="81" spans="1:29" ht="15.75" thickTop="1">
      <c r="A81" s="665"/>
      <c r="B81" s="677" t="s">
        <v>532</v>
      </c>
      <c r="C81" s="678" t="str">
        <f>C82&amp;"（含）"&amp;"-"&amp;D82</f>
        <v>0（含）-1</v>
      </c>
      <c r="D81" s="678" t="str">
        <f t="shared" ref="D81:L81" si="20">D82&amp;"（含）"&amp;"-"&amp;E82</f>
        <v>1（含）-2</v>
      </c>
      <c r="E81" s="678" t="str">
        <f t="shared" si="20"/>
        <v>2（含）-3</v>
      </c>
      <c r="F81" s="678" t="str">
        <f t="shared" si="20"/>
        <v>3（含）-4</v>
      </c>
      <c r="G81" s="678" t="str">
        <f t="shared" si="20"/>
        <v>4（含）-5</v>
      </c>
      <c r="H81" s="678" t="str">
        <f t="shared" si="20"/>
        <v>5（含）-</v>
      </c>
      <c r="I81" s="678" t="str">
        <f t="shared" si="20"/>
        <v>（含）-</v>
      </c>
      <c r="J81" s="678" t="str">
        <f t="shared" si="20"/>
        <v>（含）-</v>
      </c>
      <c r="K81" s="678" t="str">
        <f t="shared" si="20"/>
        <v>（含）-</v>
      </c>
      <c r="L81" s="678" t="str">
        <f t="shared" si="20"/>
        <v>（含）-</v>
      </c>
      <c r="M81" s="551" t="str">
        <f>M82&amp;"（含）"&amp;"-"&amp;P82</f>
        <v>（含）-</v>
      </c>
      <c r="N81" s="2161"/>
      <c r="O81" s="2161"/>
      <c r="P81" s="2160"/>
      <c r="Q81" s="2153"/>
      <c r="R81" s="2140"/>
      <c r="S81" s="2140"/>
      <c r="T81" s="2140"/>
      <c r="U81" s="2140"/>
      <c r="V81" s="2140"/>
      <c r="W81" s="2140"/>
      <c r="X81" s="2140"/>
      <c r="Y81" s="2140"/>
      <c r="Z81" s="2140"/>
      <c r="AA81" s="2140"/>
      <c r="AB81" s="2140"/>
      <c r="AC81" s="2140"/>
    </row>
    <row r="82" spans="1:29" ht="15">
      <c r="A82" s="665"/>
      <c r="B82" s="679"/>
      <c r="C82" s="537">
        <v>0</v>
      </c>
      <c r="D82" s="537">
        <v>1</v>
      </c>
      <c r="E82" s="537">
        <v>2</v>
      </c>
      <c r="F82" s="537">
        <v>3</v>
      </c>
      <c r="G82" s="537">
        <v>4</v>
      </c>
      <c r="H82" s="537">
        <v>5</v>
      </c>
      <c r="I82" s="537"/>
      <c r="J82" s="537"/>
      <c r="K82" s="680"/>
      <c r="L82" s="681"/>
      <c r="M82" s="682"/>
      <c r="N82" s="2159"/>
      <c r="O82" s="2159"/>
      <c r="P82" s="2160"/>
      <c r="Q82" s="2153"/>
      <c r="R82" s="2140"/>
      <c r="S82" s="2140"/>
      <c r="T82" s="2140"/>
      <c r="U82" s="2140"/>
      <c r="V82" s="2140"/>
      <c r="W82" s="2140"/>
      <c r="X82" s="2140"/>
      <c r="Y82" s="2140"/>
      <c r="Z82" s="2140"/>
      <c r="AA82" s="2140"/>
      <c r="AB82" s="2140"/>
      <c r="AC82" s="2140"/>
    </row>
    <row r="83" spans="1:29" ht="15.75" thickBot="1">
      <c r="A83" s="665"/>
      <c r="B83" s="666"/>
      <c r="C83" s="675">
        <v>100</v>
      </c>
      <c r="D83" s="675">
        <f>IF($B$48="单位面积地价",C83+$K13,C83-$K13)</f>
        <v>99</v>
      </c>
      <c r="E83" s="675">
        <f t="shared" ref="E83:M83" si="21">IF($B$48="单位面积地价",D83+$K13,D83-$K13)</f>
        <v>98</v>
      </c>
      <c r="F83" s="675">
        <f t="shared" si="21"/>
        <v>97</v>
      </c>
      <c r="G83" s="675">
        <f t="shared" si="21"/>
        <v>96</v>
      </c>
      <c r="H83" s="675">
        <f t="shared" si="21"/>
        <v>95</v>
      </c>
      <c r="I83" s="675">
        <f t="shared" si="21"/>
        <v>94</v>
      </c>
      <c r="J83" s="675">
        <f t="shared" si="21"/>
        <v>93</v>
      </c>
      <c r="K83" s="675">
        <f t="shared" si="21"/>
        <v>92</v>
      </c>
      <c r="L83" s="675">
        <f t="shared" si="21"/>
        <v>91</v>
      </c>
      <c r="M83" s="675">
        <f t="shared" si="21"/>
        <v>90</v>
      </c>
      <c r="N83" s="2161"/>
      <c r="O83" s="2161"/>
      <c r="P83" s="2160"/>
      <c r="Q83" s="2153"/>
      <c r="R83" s="2140"/>
      <c r="S83" s="2140"/>
      <c r="T83" s="2140"/>
      <c r="U83" s="2140"/>
      <c r="V83" s="2140"/>
      <c r="W83" s="2140"/>
      <c r="X83" s="2140"/>
      <c r="Y83" s="2140"/>
      <c r="Z83" s="2140"/>
      <c r="AA83" s="2140"/>
      <c r="AB83" s="2140"/>
      <c r="AC83" s="2140"/>
    </row>
    <row r="84" spans="1:29" s="1334" customFormat="1" ht="15.75" thickTop="1">
      <c r="A84" s="683"/>
      <c r="B84" s="669" t="str">
        <f>B14</f>
        <v>配建</v>
      </c>
      <c r="C84" s="3166" t="s">
        <v>3057</v>
      </c>
      <c r="D84" s="1370" t="s">
        <v>3056</v>
      </c>
      <c r="E84" s="1371"/>
      <c r="F84" s="684"/>
      <c r="G84" s="684"/>
      <c r="H84" s="685"/>
      <c r="I84" s="685"/>
      <c r="J84" s="685"/>
      <c r="K84" s="685"/>
      <c r="L84" s="686"/>
      <c r="M84" s="687"/>
      <c r="N84" s="2162"/>
      <c r="O84" s="2162"/>
      <c r="P84" s="2163"/>
      <c r="Q84" s="2164"/>
      <c r="R84" s="2165"/>
      <c r="S84" s="2165"/>
      <c r="T84" s="2165"/>
      <c r="U84" s="2165"/>
      <c r="V84" s="2165"/>
      <c r="W84" s="2165"/>
      <c r="X84" s="2165"/>
      <c r="Y84" s="2165"/>
      <c r="Z84" s="2165"/>
      <c r="AA84" s="2165"/>
      <c r="AB84" s="2165"/>
      <c r="AC84" s="2165"/>
    </row>
    <row r="85" spans="1:29" s="1334" customFormat="1" ht="15.75" thickBot="1">
      <c r="A85" s="683"/>
      <c r="B85" s="674"/>
      <c r="C85" s="688">
        <v>95</v>
      </c>
      <c r="D85" s="667">
        <v>100</v>
      </c>
      <c r="E85" s="667"/>
      <c r="F85" s="667"/>
      <c r="G85" s="667"/>
      <c r="H85" s="667"/>
      <c r="I85" s="667"/>
      <c r="J85" s="667"/>
      <c r="K85" s="667"/>
      <c r="L85" s="667"/>
      <c r="M85" s="668"/>
      <c r="N85" s="2161"/>
      <c r="O85" s="2161"/>
      <c r="P85" s="2163"/>
      <c r="Q85" s="2164"/>
      <c r="R85" s="2165"/>
      <c r="S85" s="2165"/>
      <c r="T85" s="2165"/>
      <c r="U85" s="2165"/>
      <c r="V85" s="2165"/>
      <c r="W85" s="2165"/>
      <c r="X85" s="2165"/>
      <c r="Y85" s="2165"/>
      <c r="Z85" s="2165"/>
      <c r="AA85" s="2165"/>
      <c r="AB85" s="2165"/>
      <c r="AC85" s="2165"/>
    </row>
    <row r="86" spans="1:29" s="1334" customFormat="1" ht="15.75" thickTop="1">
      <c r="A86" s="683"/>
      <c r="B86" s="669">
        <f>B15</f>
        <v>0</v>
      </c>
      <c r="C86" s="684"/>
      <c r="D86" s="684"/>
      <c r="E86" s="684"/>
      <c r="F86" s="684"/>
      <c r="G86" s="684"/>
      <c r="H86" s="685"/>
      <c r="I86" s="685"/>
      <c r="J86" s="685"/>
      <c r="K86" s="685"/>
      <c r="L86" s="686"/>
      <c r="M86" s="687"/>
      <c r="N86" s="2162"/>
      <c r="O86" s="2162"/>
      <c r="P86" s="2166"/>
      <c r="Q86" s="2167"/>
      <c r="R86" s="2165"/>
      <c r="S86" s="2165"/>
      <c r="T86" s="2165"/>
      <c r="U86" s="2165"/>
      <c r="V86" s="2165"/>
      <c r="W86" s="2165"/>
      <c r="X86" s="2165"/>
      <c r="Y86" s="2165"/>
      <c r="Z86" s="2165"/>
      <c r="AA86" s="2165"/>
      <c r="AB86" s="2165"/>
      <c r="AC86" s="2165"/>
    </row>
    <row r="87" spans="1:29" s="1334" customFormat="1" ht="15.75" thickBot="1">
      <c r="A87" s="683"/>
      <c r="B87" s="674"/>
      <c r="C87" s="688"/>
      <c r="D87" s="688"/>
      <c r="E87" s="688"/>
      <c r="F87" s="688"/>
      <c r="G87" s="688"/>
      <c r="H87" s="689"/>
      <c r="I87" s="689"/>
      <c r="J87" s="689"/>
      <c r="K87" s="689"/>
      <c r="L87" s="689"/>
      <c r="M87" s="690"/>
      <c r="N87" s="2162"/>
      <c r="O87" s="2162"/>
      <c r="P87" s="2163"/>
      <c r="Q87" s="2164"/>
      <c r="R87" s="2165"/>
      <c r="S87" s="2165"/>
      <c r="T87" s="2165"/>
      <c r="U87" s="2165"/>
      <c r="V87" s="2165"/>
      <c r="W87" s="2165"/>
      <c r="X87" s="2165"/>
      <c r="Y87" s="2165"/>
      <c r="Z87" s="2165"/>
      <c r="AA87" s="2165"/>
      <c r="AB87" s="2165"/>
      <c r="AC87" s="2165"/>
    </row>
    <row r="88" spans="1:29" s="1334" customFormat="1" ht="15.75" thickTop="1">
      <c r="A88" s="683"/>
      <c r="B88" s="677">
        <f>B16</f>
        <v>0</v>
      </c>
      <c r="C88" s="657"/>
      <c r="D88" s="657"/>
      <c r="E88" s="657"/>
      <c r="F88" s="657"/>
      <c r="G88" s="657"/>
      <c r="H88" s="691"/>
      <c r="I88" s="691"/>
      <c r="J88" s="691"/>
      <c r="K88" s="691"/>
      <c r="L88" s="692"/>
      <c r="M88" s="693"/>
      <c r="N88" s="2162"/>
      <c r="O88" s="2162"/>
      <c r="P88" s="2168"/>
      <c r="Q88" s="2164"/>
      <c r="R88" s="2165"/>
      <c r="S88" s="2165"/>
      <c r="T88" s="2165"/>
      <c r="U88" s="2165"/>
      <c r="V88" s="2165"/>
      <c r="W88" s="2165"/>
      <c r="X88" s="2165"/>
      <c r="Y88" s="2165"/>
      <c r="Z88" s="2165"/>
      <c r="AA88" s="2165"/>
      <c r="AB88" s="2165"/>
      <c r="AC88" s="2165"/>
    </row>
    <row r="89" spans="1:29" s="1334" customFormat="1" ht="15.75" thickBot="1">
      <c r="A89" s="694"/>
      <c r="B89" s="695"/>
      <c r="C89" s="696"/>
      <c r="D89" s="696"/>
      <c r="E89" s="696"/>
      <c r="F89" s="696"/>
      <c r="G89" s="696"/>
      <c r="H89" s="697"/>
      <c r="I89" s="697"/>
      <c r="J89" s="697"/>
      <c r="K89" s="697"/>
      <c r="L89" s="697"/>
      <c r="M89" s="698"/>
      <c r="N89" s="2162"/>
      <c r="O89" s="2162"/>
      <c r="P89" s="2163"/>
      <c r="Q89" s="2164"/>
      <c r="R89" s="2165"/>
      <c r="S89" s="2165"/>
      <c r="T89" s="2165"/>
      <c r="U89" s="2165"/>
      <c r="V89" s="2165"/>
      <c r="W89" s="2165"/>
      <c r="X89" s="2165"/>
      <c r="Y89" s="2165"/>
      <c r="Z89" s="2165"/>
      <c r="AA89" s="2165"/>
      <c r="AB89" s="2165"/>
      <c r="AC89" s="2165"/>
    </row>
    <row r="90" spans="1:29">
      <c r="A90" s="660" t="s">
        <v>533</v>
      </c>
      <c r="B90" s="661" t="s">
        <v>572</v>
      </c>
      <c r="C90" s="699" t="s">
        <v>573</v>
      </c>
      <c r="D90" s="699" t="s">
        <v>574</v>
      </c>
      <c r="E90" s="699" t="s">
        <v>575</v>
      </c>
      <c r="F90" s="699" t="s">
        <v>576</v>
      </c>
      <c r="G90" s="699" t="s">
        <v>577</v>
      </c>
      <c r="H90" s="700"/>
      <c r="I90" s="700"/>
      <c r="J90" s="700"/>
      <c r="K90" s="701"/>
      <c r="L90" s="702"/>
      <c r="M90" s="703"/>
      <c r="N90" s="2159"/>
      <c r="O90" s="2159"/>
      <c r="P90" s="2169"/>
      <c r="Q90" s="2153"/>
      <c r="R90" s="2140"/>
      <c r="S90" s="2140"/>
      <c r="T90" s="2140"/>
      <c r="U90" s="2140"/>
      <c r="V90" s="2140"/>
      <c r="W90" s="2140"/>
      <c r="X90" s="2140"/>
      <c r="Y90" s="2140"/>
      <c r="Z90" s="2140"/>
      <c r="AA90" s="2140"/>
      <c r="AB90" s="2140"/>
      <c r="AC90" s="2140"/>
    </row>
    <row r="91" spans="1:29" ht="15.75" thickBot="1">
      <c r="A91" s="665"/>
      <c r="B91" s="674"/>
      <c r="C91" s="675">
        <v>100</v>
      </c>
      <c r="D91" s="675">
        <f>C91-$K17</f>
        <v>95</v>
      </c>
      <c r="E91" s="675">
        <f>D91-$K17</f>
        <v>90</v>
      </c>
      <c r="F91" s="675">
        <f>E91-$K17</f>
        <v>85</v>
      </c>
      <c r="G91" s="675">
        <f>F91-$K17</f>
        <v>80</v>
      </c>
      <c r="H91" s="675"/>
      <c r="I91" s="675"/>
      <c r="J91" s="675"/>
      <c r="K91" s="675"/>
      <c r="L91" s="675"/>
      <c r="M91" s="676"/>
      <c r="N91" s="2161"/>
      <c r="O91" s="2161"/>
      <c r="P91" s="2160"/>
      <c r="Q91" s="2153"/>
      <c r="R91" s="2140"/>
      <c r="S91" s="2140"/>
      <c r="T91" s="2140"/>
      <c r="U91" s="2140"/>
      <c r="V91" s="2140"/>
      <c r="W91" s="2140"/>
      <c r="X91" s="2140"/>
      <c r="Y91" s="2140"/>
      <c r="Z91" s="2140"/>
      <c r="AA91" s="2140"/>
      <c r="AB91" s="2140"/>
      <c r="AC91" s="2140"/>
    </row>
    <row r="92" spans="1:29" ht="15.75" thickTop="1">
      <c r="A92" s="665"/>
      <c r="B92" s="669" t="s">
        <v>578</v>
      </c>
      <c r="C92" s="704" t="s">
        <v>573</v>
      </c>
      <c r="D92" s="704" t="s">
        <v>574</v>
      </c>
      <c r="E92" s="704" t="s">
        <v>575</v>
      </c>
      <c r="F92" s="704" t="s">
        <v>576</v>
      </c>
      <c r="G92" s="704" t="s">
        <v>577</v>
      </c>
      <c r="H92" s="670"/>
      <c r="I92" s="670"/>
      <c r="J92" s="670"/>
      <c r="K92" s="671"/>
      <c r="L92" s="672"/>
      <c r="M92" s="673"/>
      <c r="N92" s="2159"/>
      <c r="O92" s="2159"/>
      <c r="P92" s="2160"/>
      <c r="Q92" s="2153"/>
      <c r="R92" s="2140"/>
      <c r="S92" s="2140"/>
      <c r="T92" s="2140"/>
      <c r="U92" s="2140"/>
      <c r="V92" s="2140"/>
      <c r="W92" s="2140"/>
      <c r="X92" s="2140"/>
      <c r="Y92" s="2140"/>
      <c r="Z92" s="2140"/>
      <c r="AA92" s="2140"/>
      <c r="AB92" s="2140"/>
      <c r="AC92" s="2140"/>
    </row>
    <row r="93" spans="1:29" ht="15.75" thickBot="1">
      <c r="A93" s="665"/>
      <c r="B93" s="674"/>
      <c r="C93" s="675">
        <v>100</v>
      </c>
      <c r="D93" s="675">
        <f>C93-$K19</f>
        <v>97</v>
      </c>
      <c r="E93" s="675">
        <f>D93-$K19</f>
        <v>94</v>
      </c>
      <c r="F93" s="675">
        <f>E93-$K19</f>
        <v>91</v>
      </c>
      <c r="G93" s="675">
        <f>F93-$K19</f>
        <v>88</v>
      </c>
      <c r="H93" s="675"/>
      <c r="I93" s="675"/>
      <c r="J93" s="675"/>
      <c r="K93" s="675"/>
      <c r="L93" s="675"/>
      <c r="M93" s="676"/>
      <c r="N93" s="2161"/>
      <c r="O93" s="2161"/>
      <c r="P93" s="2160"/>
      <c r="Q93" s="2153"/>
      <c r="R93" s="2140"/>
      <c r="S93" s="2140"/>
      <c r="T93" s="2140"/>
      <c r="U93" s="2140"/>
      <c r="V93" s="2140"/>
      <c r="W93" s="2140"/>
      <c r="X93" s="2140"/>
      <c r="Y93" s="2140"/>
      <c r="Z93" s="2140"/>
      <c r="AA93" s="2140"/>
      <c r="AB93" s="2140"/>
      <c r="AC93" s="2140"/>
    </row>
    <row r="94" spans="1:29" ht="15.75" thickTop="1">
      <c r="A94" s="665"/>
      <c r="B94" s="669" t="s">
        <v>579</v>
      </c>
      <c r="C94" s="704" t="s">
        <v>573</v>
      </c>
      <c r="D94" s="704" t="s">
        <v>574</v>
      </c>
      <c r="E94" s="704" t="s">
        <v>575</v>
      </c>
      <c r="F94" s="704" t="s">
        <v>576</v>
      </c>
      <c r="G94" s="704" t="s">
        <v>577</v>
      </c>
      <c r="H94" s="670"/>
      <c r="I94" s="670"/>
      <c r="J94" s="670"/>
      <c r="K94" s="671"/>
      <c r="L94" s="672"/>
      <c r="M94" s="673"/>
      <c r="N94" s="2159"/>
      <c r="O94" s="2159"/>
      <c r="P94" s="2160"/>
      <c r="Q94" s="2153"/>
      <c r="R94" s="2140"/>
      <c r="S94" s="2140"/>
      <c r="T94" s="2140"/>
      <c r="U94" s="2140"/>
      <c r="V94" s="2140"/>
      <c r="W94" s="2140"/>
      <c r="X94" s="2140"/>
      <c r="Y94" s="2140"/>
      <c r="Z94" s="2140"/>
      <c r="AA94" s="2140"/>
      <c r="AB94" s="2140"/>
      <c r="AC94" s="2140"/>
    </row>
    <row r="95" spans="1:29" ht="15.75" thickBot="1">
      <c r="A95" s="665"/>
      <c r="B95" s="674"/>
      <c r="C95" s="675">
        <v>100</v>
      </c>
      <c r="D95" s="675">
        <f>C95-$K21</f>
        <v>98</v>
      </c>
      <c r="E95" s="675">
        <f>D95-$K21</f>
        <v>96</v>
      </c>
      <c r="F95" s="675">
        <f>E95-$K21</f>
        <v>94</v>
      </c>
      <c r="G95" s="675">
        <f>F95-$K21</f>
        <v>92</v>
      </c>
      <c r="H95" s="675"/>
      <c r="I95" s="675"/>
      <c r="J95" s="675"/>
      <c r="K95" s="675"/>
      <c r="L95" s="675"/>
      <c r="M95" s="676"/>
      <c r="N95" s="2161"/>
      <c r="O95" s="2161"/>
      <c r="P95" s="2160"/>
      <c r="Q95" s="2153"/>
      <c r="R95" s="2140"/>
      <c r="S95" s="2140"/>
      <c r="T95" s="2140"/>
      <c r="U95" s="2140"/>
      <c r="V95" s="2140"/>
      <c r="W95" s="2140"/>
      <c r="X95" s="2140"/>
      <c r="Y95" s="2140"/>
      <c r="Z95" s="2140"/>
      <c r="AA95" s="2140"/>
      <c r="AB95" s="2140"/>
      <c r="AC95" s="2140"/>
    </row>
    <row r="96" spans="1:29" ht="15.75" thickTop="1">
      <c r="A96" s="665"/>
      <c r="B96" s="669" t="s">
        <v>580</v>
      </c>
      <c r="C96" s="704" t="s">
        <v>573</v>
      </c>
      <c r="D96" s="704" t="s">
        <v>574</v>
      </c>
      <c r="E96" s="704" t="s">
        <v>575</v>
      </c>
      <c r="F96" s="704" t="s">
        <v>576</v>
      </c>
      <c r="G96" s="704" t="s">
        <v>577</v>
      </c>
      <c r="H96" s="670"/>
      <c r="I96" s="670"/>
      <c r="J96" s="670"/>
      <c r="K96" s="671"/>
      <c r="L96" s="672"/>
      <c r="M96" s="673"/>
      <c r="N96" s="2159"/>
      <c r="O96" s="2159"/>
      <c r="P96" s="2160"/>
      <c r="Q96" s="2153"/>
      <c r="R96" s="2140"/>
      <c r="S96" s="2140"/>
      <c r="T96" s="2140"/>
      <c r="U96" s="2140"/>
      <c r="V96" s="2140"/>
      <c r="W96" s="2140"/>
      <c r="X96" s="2140"/>
      <c r="Y96" s="2140"/>
      <c r="Z96" s="2140"/>
      <c r="AA96" s="2140"/>
      <c r="AB96" s="2140"/>
      <c r="AC96" s="2140"/>
    </row>
    <row r="97" spans="1:29" ht="15.75" thickBot="1">
      <c r="A97" s="665"/>
      <c r="B97" s="674"/>
      <c r="C97" s="675">
        <v>100</v>
      </c>
      <c r="D97" s="675">
        <f>C97-$K23</f>
        <v>98</v>
      </c>
      <c r="E97" s="675">
        <f>D97-$K23</f>
        <v>96</v>
      </c>
      <c r="F97" s="675">
        <f>E97-$K23</f>
        <v>94</v>
      </c>
      <c r="G97" s="675">
        <f>F97-$K23</f>
        <v>92</v>
      </c>
      <c r="H97" s="675"/>
      <c r="I97" s="675"/>
      <c r="J97" s="675"/>
      <c r="K97" s="675"/>
      <c r="L97" s="675"/>
      <c r="M97" s="676"/>
      <c r="N97" s="2161"/>
      <c r="O97" s="2161"/>
      <c r="P97" s="2160"/>
      <c r="Q97" s="2153"/>
      <c r="R97" s="2140"/>
      <c r="S97" s="2140"/>
      <c r="T97" s="2140"/>
      <c r="U97" s="2140"/>
      <c r="V97" s="2140"/>
      <c r="W97" s="2140"/>
      <c r="X97" s="2140"/>
      <c r="Y97" s="2140"/>
      <c r="Z97" s="2140"/>
      <c r="AA97" s="2140"/>
      <c r="AB97" s="2140"/>
      <c r="AC97" s="2140"/>
    </row>
    <row r="98" spans="1:29" s="1215" customFormat="1" ht="27.75" thickTop="1">
      <c r="A98" s="705"/>
      <c r="B98" s="669" t="s">
        <v>581</v>
      </c>
      <c r="C98" s="704" t="s">
        <v>573</v>
      </c>
      <c r="D98" s="704" t="s">
        <v>574</v>
      </c>
      <c r="E98" s="704" t="s">
        <v>575</v>
      </c>
      <c r="F98" s="704" t="s">
        <v>576</v>
      </c>
      <c r="G98" s="704" t="s">
        <v>577</v>
      </c>
      <c r="H98" s="704"/>
      <c r="I98" s="704"/>
      <c r="J98" s="704"/>
      <c r="K98" s="704"/>
      <c r="L98" s="706"/>
      <c r="M98" s="707"/>
      <c r="N98" s="2157"/>
      <c r="O98" s="2157"/>
      <c r="P98" s="2160"/>
      <c r="Q98" s="2153"/>
      <c r="R98" s="1988"/>
      <c r="S98" s="1988"/>
      <c r="T98" s="1988"/>
      <c r="U98" s="1988"/>
      <c r="V98" s="1988"/>
      <c r="W98" s="1988"/>
      <c r="X98" s="1988"/>
      <c r="Y98" s="1988"/>
      <c r="Z98" s="1988"/>
      <c r="AA98" s="1988"/>
      <c r="AB98" s="1988"/>
      <c r="AC98" s="1988"/>
    </row>
    <row r="99" spans="1:29" s="1215" customFormat="1" ht="15.75" thickBot="1">
      <c r="A99" s="705"/>
      <c r="B99" s="674"/>
      <c r="C99" s="708">
        <v>100</v>
      </c>
      <c r="D99" s="675">
        <f>C99-$K25</f>
        <v>99</v>
      </c>
      <c r="E99" s="675">
        <f>D99-$K25</f>
        <v>98</v>
      </c>
      <c r="F99" s="675">
        <f>E99-$K25</f>
        <v>97</v>
      </c>
      <c r="G99" s="675">
        <f>F99-$K25</f>
        <v>96</v>
      </c>
      <c r="H99" s="675"/>
      <c r="I99" s="675"/>
      <c r="J99" s="675"/>
      <c r="K99" s="675"/>
      <c r="L99" s="675"/>
      <c r="M99" s="676"/>
      <c r="N99" s="2161"/>
      <c r="O99" s="2161"/>
      <c r="P99" s="2160"/>
      <c r="Q99" s="2153"/>
      <c r="R99" s="1988"/>
      <c r="S99" s="1988"/>
      <c r="T99" s="1988"/>
      <c r="U99" s="1988"/>
      <c r="V99" s="1988"/>
      <c r="W99" s="1988"/>
      <c r="X99" s="1988"/>
      <c r="Y99" s="1988"/>
      <c r="Z99" s="1988"/>
      <c r="AA99" s="1988"/>
      <c r="AB99" s="1988"/>
      <c r="AC99" s="1988"/>
    </row>
    <row r="100" spans="1:29" s="1215" customFormat="1" ht="27.75" thickTop="1">
      <c r="A100" s="705"/>
      <c r="B100" s="669" t="s">
        <v>582</v>
      </c>
      <c r="C100" s="699" t="s">
        <v>573</v>
      </c>
      <c r="D100" s="699" t="s">
        <v>574</v>
      </c>
      <c r="E100" s="699" t="s">
        <v>575</v>
      </c>
      <c r="F100" s="699" t="s">
        <v>576</v>
      </c>
      <c r="G100" s="699" t="s">
        <v>577</v>
      </c>
      <c r="H100" s="704"/>
      <c r="I100" s="704"/>
      <c r="J100" s="704"/>
      <c r="K100" s="704"/>
      <c r="L100" s="704"/>
      <c r="M100" s="707"/>
      <c r="N100" s="2157"/>
      <c r="O100" s="2157"/>
      <c r="P100" s="2160"/>
      <c r="Q100" s="2153"/>
      <c r="R100" s="1988"/>
      <c r="S100" s="1988"/>
      <c r="T100" s="1988"/>
      <c r="U100" s="1988"/>
      <c r="V100" s="1988"/>
      <c r="W100" s="1988"/>
      <c r="X100" s="1988"/>
      <c r="Y100" s="1988"/>
      <c r="Z100" s="1988"/>
      <c r="AA100" s="1988"/>
      <c r="AB100" s="1988"/>
      <c r="AC100" s="1988"/>
    </row>
    <row r="101" spans="1:29" s="1215" customFormat="1" ht="15.75" thickBot="1">
      <c r="A101" s="705"/>
      <c r="B101" s="674"/>
      <c r="C101" s="675">
        <v>100</v>
      </c>
      <c r="D101" s="675">
        <f>C101-$K27</f>
        <v>98</v>
      </c>
      <c r="E101" s="675">
        <f>D101-$K27</f>
        <v>96</v>
      </c>
      <c r="F101" s="675">
        <f>E101-$K27</f>
        <v>94</v>
      </c>
      <c r="G101" s="675">
        <f>F101-$K27</f>
        <v>92</v>
      </c>
      <c r="H101" s="675"/>
      <c r="I101" s="675"/>
      <c r="J101" s="675"/>
      <c r="K101" s="675"/>
      <c r="L101" s="675"/>
      <c r="M101" s="676"/>
      <c r="N101" s="2161"/>
      <c r="O101" s="2161"/>
      <c r="P101" s="2160"/>
      <c r="Q101" s="2153"/>
      <c r="R101" s="1988"/>
      <c r="S101" s="1988"/>
      <c r="T101" s="1988"/>
      <c r="U101" s="1988"/>
      <c r="V101" s="1988"/>
      <c r="W101" s="1988"/>
      <c r="X101" s="1988"/>
      <c r="Y101" s="1988"/>
      <c r="Z101" s="1988"/>
      <c r="AA101" s="1988"/>
      <c r="AB101" s="1988"/>
      <c r="AC101" s="1988"/>
    </row>
    <row r="102" spans="1:29" s="1334" customFormat="1" ht="15.75" thickTop="1">
      <c r="A102" s="683"/>
      <c r="B102" s="1891" t="s">
        <v>2545</v>
      </c>
      <c r="C102" s="699" t="s">
        <v>573</v>
      </c>
      <c r="D102" s="699" t="s">
        <v>574</v>
      </c>
      <c r="E102" s="699" t="s">
        <v>575</v>
      </c>
      <c r="F102" s="699" t="s">
        <v>576</v>
      </c>
      <c r="G102" s="699" t="s">
        <v>577</v>
      </c>
      <c r="H102" s="709"/>
      <c r="I102" s="709"/>
      <c r="J102" s="709"/>
      <c r="K102" s="709"/>
      <c r="L102" s="710"/>
      <c r="M102" s="711"/>
      <c r="N102" s="2162"/>
      <c r="O102" s="2162"/>
      <c r="P102" s="2163"/>
      <c r="Q102" s="2164"/>
      <c r="R102" s="2165"/>
      <c r="S102" s="2165"/>
      <c r="T102" s="2165"/>
      <c r="U102" s="2165"/>
      <c r="V102" s="2165"/>
      <c r="W102" s="2165"/>
      <c r="X102" s="2165"/>
      <c r="Y102" s="2165"/>
      <c r="Z102" s="2165"/>
      <c r="AA102" s="2165"/>
      <c r="AB102" s="2165"/>
      <c r="AC102" s="2165"/>
    </row>
    <row r="103" spans="1:29" s="1334" customFormat="1" ht="15.75" thickBot="1">
      <c r="A103" s="683"/>
      <c r="B103" s="674"/>
      <c r="C103" s="675">
        <v>100</v>
      </c>
      <c r="D103" s="675">
        <f>C103-$K29</f>
        <v>99</v>
      </c>
      <c r="E103" s="675">
        <f>D103-$K29</f>
        <v>98</v>
      </c>
      <c r="F103" s="675">
        <f>E103-$K29</f>
        <v>97</v>
      </c>
      <c r="G103" s="675">
        <f>F103-$K29</f>
        <v>96</v>
      </c>
      <c r="H103" s="712"/>
      <c r="I103" s="712"/>
      <c r="J103" s="712"/>
      <c r="K103" s="712"/>
      <c r="L103" s="712"/>
      <c r="M103" s="713"/>
      <c r="N103" s="2162"/>
      <c r="O103" s="2162"/>
      <c r="P103" s="2163"/>
      <c r="Q103" s="2164"/>
      <c r="R103" s="2165"/>
      <c r="S103" s="2165"/>
      <c r="T103" s="2165"/>
      <c r="U103" s="2165"/>
      <c r="V103" s="2165"/>
      <c r="W103" s="2165"/>
      <c r="X103" s="2165"/>
      <c r="Y103" s="2165"/>
      <c r="Z103" s="2165"/>
      <c r="AA103" s="2165"/>
      <c r="AB103" s="2165"/>
      <c r="AC103" s="2165"/>
    </row>
    <row r="104" spans="1:29" s="1334" customFormat="1" ht="15.75" thickTop="1">
      <c r="A104" s="683"/>
      <c r="B104" s="2616" t="s">
        <v>2547</v>
      </c>
      <c r="C104" s="2617" t="s">
        <v>2548</v>
      </c>
      <c r="D104" s="2617" t="s">
        <v>2549</v>
      </c>
      <c r="E104" s="2617" t="s">
        <v>2550</v>
      </c>
      <c r="F104" s="2617" t="s">
        <v>2551</v>
      </c>
      <c r="G104" s="2617" t="s">
        <v>2552</v>
      </c>
      <c r="H104" s="709"/>
      <c r="I104" s="709"/>
      <c r="J104" s="709"/>
      <c r="K104" s="709"/>
      <c r="L104" s="709"/>
      <c r="M104" s="711"/>
      <c r="N104" s="2162"/>
      <c r="O104" s="2162"/>
      <c r="P104" s="2163"/>
      <c r="Q104" s="2164"/>
      <c r="R104" s="2165"/>
      <c r="S104" s="2165"/>
      <c r="T104" s="2165"/>
      <c r="U104" s="2165"/>
      <c r="V104" s="2165"/>
      <c r="W104" s="2165"/>
      <c r="X104" s="2165"/>
      <c r="Y104" s="2165"/>
      <c r="Z104" s="2165"/>
      <c r="AA104" s="2165"/>
      <c r="AB104" s="2165"/>
      <c r="AC104" s="2165"/>
    </row>
    <row r="105" spans="1:29" s="1334" customFormat="1" ht="15.75" thickBot="1">
      <c r="A105" s="683"/>
      <c r="B105" s="677"/>
      <c r="C105" s="675">
        <v>100</v>
      </c>
      <c r="D105" s="675">
        <f>C105-$K31</f>
        <v>99</v>
      </c>
      <c r="E105" s="675">
        <f>D105-$K31</f>
        <v>98</v>
      </c>
      <c r="F105" s="675">
        <f>E105-$K31</f>
        <v>97</v>
      </c>
      <c r="G105" s="675">
        <f>F105-$K31</f>
        <v>96</v>
      </c>
      <c r="H105" s="679"/>
      <c r="I105" s="679"/>
      <c r="J105" s="679"/>
      <c r="K105" s="679"/>
      <c r="L105" s="679"/>
      <c r="M105" s="2609"/>
      <c r="N105" s="2162"/>
      <c r="O105" s="2162"/>
      <c r="P105" s="2163"/>
      <c r="Q105" s="2164"/>
      <c r="R105" s="2165"/>
      <c r="S105" s="2165"/>
      <c r="T105" s="2165"/>
      <c r="U105" s="2165"/>
      <c r="V105" s="2165"/>
      <c r="W105" s="2165"/>
      <c r="X105" s="2165"/>
      <c r="Y105" s="2165"/>
      <c r="Z105" s="2165"/>
      <c r="AA105" s="2165"/>
      <c r="AB105" s="2165"/>
      <c r="AC105" s="2165"/>
    </row>
    <row r="106" spans="1:29" ht="15.75" thickTop="1">
      <c r="A106" s="665"/>
      <c r="B106" s="669" t="str">
        <f>B33</f>
        <v>临街状况</v>
      </c>
      <c r="C106" s="670" t="s">
        <v>583</v>
      </c>
      <c r="D106" s="670" t="s">
        <v>584</v>
      </c>
      <c r="E106" s="670" t="s">
        <v>585</v>
      </c>
      <c r="F106" s="670" t="s">
        <v>586</v>
      </c>
      <c r="G106" s="670"/>
      <c r="H106" s="670"/>
      <c r="I106" s="670"/>
      <c r="J106" s="670"/>
      <c r="K106" s="671"/>
      <c r="L106" s="672"/>
      <c r="M106" s="673"/>
      <c r="N106" s="2159"/>
      <c r="O106" s="2159"/>
      <c r="P106" s="2160"/>
      <c r="Q106" s="2153"/>
      <c r="R106" s="2140"/>
      <c r="S106" s="2140"/>
      <c r="T106" s="2140"/>
      <c r="U106" s="2140"/>
      <c r="V106" s="2140"/>
      <c r="W106" s="2140"/>
      <c r="X106" s="2140"/>
      <c r="Y106" s="2140"/>
      <c r="Z106" s="2140"/>
      <c r="AA106" s="2140"/>
      <c r="AB106" s="2140"/>
      <c r="AC106" s="2140"/>
    </row>
    <row r="107" spans="1:29" ht="15.75" thickBot="1">
      <c r="A107" s="665"/>
      <c r="B107" s="674"/>
      <c r="C107" s="675">
        <v>100</v>
      </c>
      <c r="D107" s="675">
        <f>C107-$K33</f>
        <v>100</v>
      </c>
      <c r="E107" s="675">
        <f t="shared" ref="E107:M107" si="22">D107-$K33</f>
        <v>100</v>
      </c>
      <c r="F107" s="675">
        <f t="shared" si="22"/>
        <v>100</v>
      </c>
      <c r="G107" s="675">
        <f t="shared" si="22"/>
        <v>100</v>
      </c>
      <c r="H107" s="675">
        <f t="shared" si="22"/>
        <v>100</v>
      </c>
      <c r="I107" s="675">
        <f t="shared" si="22"/>
        <v>100</v>
      </c>
      <c r="J107" s="675">
        <f t="shared" si="22"/>
        <v>100</v>
      </c>
      <c r="K107" s="675">
        <f t="shared" si="22"/>
        <v>100</v>
      </c>
      <c r="L107" s="675">
        <f t="shared" si="22"/>
        <v>100</v>
      </c>
      <c r="M107" s="675">
        <f t="shared" si="22"/>
        <v>100</v>
      </c>
      <c r="N107" s="2161"/>
      <c r="O107" s="2161"/>
      <c r="P107" s="2160"/>
      <c r="Q107" s="2153"/>
      <c r="R107" s="2140"/>
      <c r="S107" s="2140"/>
      <c r="T107" s="2140"/>
      <c r="U107" s="2140"/>
      <c r="V107" s="2140"/>
      <c r="W107" s="2140"/>
      <c r="X107" s="2140"/>
      <c r="Y107" s="2140"/>
      <c r="Z107" s="2140"/>
      <c r="AA107" s="2140"/>
      <c r="AB107" s="2140"/>
      <c r="AC107" s="2140"/>
    </row>
    <row r="108" spans="1:29" ht="27.75" thickTop="1">
      <c r="A108" s="665"/>
      <c r="B108" s="669" t="s">
        <v>542</v>
      </c>
      <c r="C108" s="684" t="s">
        <v>3010</v>
      </c>
      <c r="D108" s="684" t="s">
        <v>3011</v>
      </c>
      <c r="E108" s="684" t="s">
        <v>3012</v>
      </c>
      <c r="F108" s="684" t="s">
        <v>3013</v>
      </c>
      <c r="G108" s="684" t="s">
        <v>3014</v>
      </c>
      <c r="H108" s="714"/>
      <c r="I108" s="714"/>
      <c r="J108" s="714"/>
      <c r="K108" s="715"/>
      <c r="L108" s="716"/>
      <c r="M108" s="717"/>
      <c r="N108" s="2159"/>
      <c r="O108" s="2159"/>
      <c r="P108" s="2160"/>
      <c r="Q108" s="2153"/>
      <c r="R108" s="2140"/>
      <c r="S108" s="2140"/>
      <c r="T108" s="2140"/>
      <c r="U108" s="2140"/>
      <c r="V108" s="2140"/>
      <c r="W108" s="2140"/>
      <c r="X108" s="2140"/>
      <c r="Y108" s="2140"/>
      <c r="Z108" s="2140"/>
      <c r="AA108" s="2140"/>
      <c r="AB108" s="2140"/>
      <c r="AC108" s="2140"/>
    </row>
    <row r="109" spans="1:29" ht="15.75" thickBot="1">
      <c r="A109" s="665"/>
      <c r="B109" s="674"/>
      <c r="C109" s="675">
        <v>100</v>
      </c>
      <c r="D109" s="675">
        <f>C109-$K34</f>
        <v>99</v>
      </c>
      <c r="E109" s="675">
        <f t="shared" ref="E109:M109" si="23">D109-$K34</f>
        <v>98</v>
      </c>
      <c r="F109" s="675">
        <f t="shared" si="23"/>
        <v>97</v>
      </c>
      <c r="G109" s="675">
        <f t="shared" si="23"/>
        <v>96</v>
      </c>
      <c r="H109" s="675">
        <f t="shared" si="23"/>
        <v>95</v>
      </c>
      <c r="I109" s="675">
        <f t="shared" si="23"/>
        <v>94</v>
      </c>
      <c r="J109" s="675">
        <f t="shared" si="23"/>
        <v>93</v>
      </c>
      <c r="K109" s="675">
        <f t="shared" si="23"/>
        <v>92</v>
      </c>
      <c r="L109" s="675">
        <f t="shared" si="23"/>
        <v>91</v>
      </c>
      <c r="M109" s="675">
        <f t="shared" si="23"/>
        <v>90</v>
      </c>
      <c r="N109" s="2161"/>
      <c r="O109" s="2161"/>
      <c r="P109" s="2160"/>
      <c r="Q109" s="2153"/>
      <c r="R109" s="2140"/>
      <c r="S109" s="2140"/>
      <c r="T109" s="2140"/>
      <c r="U109" s="2140"/>
      <c r="V109" s="2140"/>
      <c r="W109" s="2140"/>
      <c r="X109" s="2140"/>
      <c r="Y109" s="2140"/>
      <c r="Z109" s="2140"/>
      <c r="AA109" s="2140"/>
      <c r="AB109" s="2140"/>
      <c r="AC109" s="2140"/>
    </row>
    <row r="110" spans="1:29" ht="15.75" thickTop="1">
      <c r="A110" s="665"/>
      <c r="B110" s="669" t="s">
        <v>543</v>
      </c>
      <c r="C110" s="714"/>
      <c r="D110" s="714"/>
      <c r="E110" s="714"/>
      <c r="F110" s="714"/>
      <c r="G110" s="714"/>
      <c r="H110" s="714"/>
      <c r="I110" s="714"/>
      <c r="J110" s="714"/>
      <c r="K110" s="715"/>
      <c r="L110" s="716"/>
      <c r="M110" s="717"/>
      <c r="N110" s="2159"/>
      <c r="O110" s="2159"/>
      <c r="P110" s="2160"/>
      <c r="Q110" s="2153"/>
      <c r="R110" s="2140"/>
      <c r="S110" s="2140"/>
      <c r="T110" s="2140"/>
      <c r="U110" s="2140"/>
      <c r="V110" s="2140"/>
      <c r="W110" s="2140"/>
      <c r="X110" s="2140"/>
      <c r="Y110" s="2140"/>
      <c r="Z110" s="2140"/>
      <c r="AA110" s="2140"/>
      <c r="AB110" s="2140"/>
      <c r="AC110" s="2140"/>
    </row>
    <row r="111" spans="1:29" ht="15.75" thickBot="1">
      <c r="A111" s="665"/>
      <c r="B111" s="674"/>
      <c r="C111" s="675">
        <v>100</v>
      </c>
      <c r="D111" s="675">
        <f>C111-$K36</f>
        <v>100</v>
      </c>
      <c r="E111" s="675">
        <f t="shared" ref="E111:M111" si="24">D111-$K36</f>
        <v>100</v>
      </c>
      <c r="F111" s="675">
        <f t="shared" si="24"/>
        <v>100</v>
      </c>
      <c r="G111" s="675">
        <f t="shared" si="24"/>
        <v>100</v>
      </c>
      <c r="H111" s="675">
        <f t="shared" si="24"/>
        <v>100</v>
      </c>
      <c r="I111" s="675">
        <f t="shared" si="24"/>
        <v>100</v>
      </c>
      <c r="J111" s="675">
        <f t="shared" si="24"/>
        <v>100</v>
      </c>
      <c r="K111" s="675">
        <f t="shared" si="24"/>
        <v>100</v>
      </c>
      <c r="L111" s="675">
        <f t="shared" si="24"/>
        <v>100</v>
      </c>
      <c r="M111" s="675">
        <f t="shared" si="24"/>
        <v>100</v>
      </c>
      <c r="N111" s="2161"/>
      <c r="O111" s="2161"/>
      <c r="P111" s="2160"/>
      <c r="Q111" s="2153"/>
      <c r="R111" s="2140"/>
      <c r="S111" s="2140"/>
      <c r="T111" s="2140"/>
      <c r="U111" s="2140"/>
      <c r="V111" s="2140"/>
      <c r="W111" s="2140"/>
      <c r="X111" s="2140"/>
      <c r="Y111" s="2140"/>
      <c r="Z111" s="2140"/>
      <c r="AA111" s="2140"/>
      <c r="AB111" s="2140"/>
      <c r="AC111" s="2140"/>
    </row>
    <row r="112" spans="1:29" ht="15.75" thickTop="1">
      <c r="A112" s="665"/>
      <c r="B112" s="677">
        <f>B37</f>
        <v>0</v>
      </c>
      <c r="C112" s="684"/>
      <c r="D112" s="684"/>
      <c r="E112" s="684"/>
      <c r="F112" s="684"/>
      <c r="G112" s="718"/>
      <c r="H112" s="718"/>
      <c r="I112" s="718"/>
      <c r="J112" s="718"/>
      <c r="K112" s="719"/>
      <c r="L112" s="720"/>
      <c r="M112" s="721"/>
      <c r="N112" s="2159"/>
      <c r="O112" s="2159"/>
      <c r="P112" s="2160"/>
      <c r="Q112" s="2153"/>
      <c r="R112" s="2140"/>
      <c r="S112" s="2140"/>
      <c r="T112" s="2140"/>
      <c r="U112" s="2140"/>
      <c r="V112" s="2140"/>
      <c r="W112" s="2140"/>
      <c r="X112" s="2140"/>
      <c r="Y112" s="2140"/>
      <c r="Z112" s="2140"/>
      <c r="AA112" s="2140"/>
      <c r="AB112" s="2140"/>
      <c r="AC112" s="2140"/>
    </row>
    <row r="113" spans="1:29" ht="15.75" thickBot="1">
      <c r="A113" s="665"/>
      <c r="B113" s="695"/>
      <c r="C113" s="688"/>
      <c r="D113" s="688"/>
      <c r="E113" s="688"/>
      <c r="F113" s="688"/>
      <c r="G113" s="722"/>
      <c r="H113" s="722"/>
      <c r="I113" s="722"/>
      <c r="J113" s="722"/>
      <c r="K113" s="722"/>
      <c r="L113" s="722"/>
      <c r="M113" s="723"/>
      <c r="N113" s="2161"/>
      <c r="O113" s="2161"/>
      <c r="P113" s="2160"/>
      <c r="Q113" s="2153"/>
      <c r="R113" s="2140"/>
      <c r="S113" s="2140"/>
      <c r="T113" s="2140"/>
      <c r="U113" s="2140"/>
      <c r="V113" s="2140"/>
      <c r="W113" s="2140"/>
      <c r="X113" s="2140"/>
      <c r="Y113" s="2140"/>
      <c r="Z113" s="2140"/>
      <c r="AA113" s="2140"/>
      <c r="AB113" s="2140"/>
      <c r="AC113" s="2140"/>
    </row>
    <row r="114" spans="1:29" ht="15" thickTop="1">
      <c r="A114" s="583"/>
      <c r="B114" s="669">
        <f>B38</f>
        <v>0</v>
      </c>
      <c r="C114" s="657"/>
      <c r="D114" s="657"/>
      <c r="E114" s="657"/>
      <c r="F114" s="657"/>
      <c r="G114" s="714"/>
      <c r="H114" s="714"/>
      <c r="I114" s="714"/>
      <c r="J114" s="714"/>
      <c r="K114" s="715"/>
      <c r="L114" s="716"/>
      <c r="M114" s="717"/>
      <c r="N114" s="2159"/>
      <c r="O114" s="2159"/>
      <c r="P114" s="2160"/>
      <c r="Q114" s="2153"/>
      <c r="R114" s="2140"/>
      <c r="S114" s="2140"/>
      <c r="T114" s="2140"/>
      <c r="U114" s="2140"/>
      <c r="V114" s="2140"/>
      <c r="W114" s="2140"/>
      <c r="X114" s="2140"/>
      <c r="Y114" s="2140"/>
      <c r="Z114" s="2140"/>
      <c r="AA114" s="2140"/>
      <c r="AB114" s="2140"/>
      <c r="AC114" s="2140"/>
    </row>
    <row r="115" spans="1:29" ht="15.75" thickBot="1">
      <c r="A115" s="665"/>
      <c r="B115" s="674"/>
      <c r="C115" s="696"/>
      <c r="D115" s="696"/>
      <c r="E115" s="696"/>
      <c r="F115" s="696"/>
      <c r="G115" s="667"/>
      <c r="H115" s="667"/>
      <c r="I115" s="667"/>
      <c r="J115" s="667"/>
      <c r="K115" s="667"/>
      <c r="L115" s="667"/>
      <c r="M115" s="668"/>
      <c r="N115" s="2161"/>
      <c r="O115" s="2161"/>
      <c r="P115" s="2160"/>
      <c r="Q115" s="2153"/>
      <c r="R115" s="2140"/>
      <c r="S115" s="2140"/>
      <c r="T115" s="2140"/>
      <c r="U115" s="2140"/>
      <c r="V115" s="2140"/>
      <c r="W115" s="2140"/>
      <c r="X115" s="2140"/>
      <c r="Y115" s="2140"/>
      <c r="Z115" s="2140"/>
      <c r="AA115" s="2140"/>
      <c r="AB115" s="2140"/>
      <c r="AC115" s="2140"/>
    </row>
    <row r="116" spans="1:29" s="1334" customFormat="1" ht="15" thickTop="1">
      <c r="A116" s="724"/>
      <c r="B116" s="725">
        <f>B39</f>
        <v>0</v>
      </c>
      <c r="C116" s="726"/>
      <c r="D116" s="726"/>
      <c r="E116" s="726"/>
      <c r="F116" s="726"/>
      <c r="G116" s="726"/>
      <c r="H116" s="726"/>
      <c r="I116" s="726"/>
      <c r="J116" s="727"/>
      <c r="K116" s="727"/>
      <c r="L116" s="728"/>
      <c r="M116" s="729"/>
      <c r="N116" s="2162"/>
      <c r="O116" s="2162"/>
      <c r="P116" s="2163"/>
      <c r="Q116" s="2164"/>
      <c r="R116" s="2165"/>
      <c r="S116" s="2165"/>
      <c r="T116" s="2165"/>
      <c r="U116" s="2165"/>
      <c r="V116" s="2165"/>
      <c r="W116" s="2165"/>
      <c r="X116" s="2165"/>
      <c r="Y116" s="2165"/>
      <c r="Z116" s="2165"/>
      <c r="AA116" s="2165"/>
      <c r="AB116" s="2165"/>
      <c r="AC116" s="2165"/>
    </row>
    <row r="117" spans="1:29" s="1334" customFormat="1" ht="15.75" thickBot="1">
      <c r="A117" s="683"/>
      <c r="B117" s="677"/>
      <c r="C117" s="646"/>
      <c r="D117" s="588"/>
      <c r="E117" s="588"/>
      <c r="F117" s="588"/>
      <c r="G117" s="588"/>
      <c r="H117" s="588"/>
      <c r="I117" s="588"/>
      <c r="J117" s="588"/>
      <c r="K117" s="588"/>
      <c r="L117" s="588"/>
      <c r="M117" s="730"/>
      <c r="N117" s="2161"/>
      <c r="O117" s="2161"/>
      <c r="P117" s="2163"/>
      <c r="Q117" s="2164"/>
      <c r="R117" s="2165"/>
      <c r="S117" s="2165"/>
      <c r="T117" s="2165"/>
      <c r="U117" s="2165"/>
      <c r="V117" s="2165"/>
      <c r="W117" s="2165"/>
      <c r="X117" s="2165"/>
      <c r="Y117" s="2165"/>
      <c r="Z117" s="2165"/>
      <c r="AA117" s="2165"/>
      <c r="AB117" s="2165"/>
      <c r="AC117" s="2165"/>
    </row>
    <row r="118" spans="1:29" ht="28.5">
      <c r="A118" s="660" t="s">
        <v>545</v>
      </c>
      <c r="B118" s="661" t="s">
        <v>587</v>
      </c>
      <c r="C118" s="700" t="str">
        <f t="shared" ref="C118:L118" si="25">C119&amp;"(含)"&amp;"-"&amp;D119</f>
        <v>0(含)-40000</v>
      </c>
      <c r="D118" s="700" t="str">
        <f t="shared" si="25"/>
        <v>40000(含)-80000</v>
      </c>
      <c r="E118" s="700" t="str">
        <f t="shared" si="25"/>
        <v>80000(含)-120000</v>
      </c>
      <c r="F118" s="700" t="str">
        <f t="shared" si="25"/>
        <v>120000(含)-160000</v>
      </c>
      <c r="G118" s="700" t="str">
        <f t="shared" si="25"/>
        <v>160000(含)-200000</v>
      </c>
      <c r="H118" s="700" t="str">
        <f t="shared" si="25"/>
        <v>200000(含)-</v>
      </c>
      <c r="I118" s="700" t="str">
        <f t="shared" si="25"/>
        <v>(含)-</v>
      </c>
      <c r="J118" s="3109" t="str">
        <f t="shared" si="25"/>
        <v>(含)-</v>
      </c>
      <c r="K118" s="3109" t="str">
        <f t="shared" si="25"/>
        <v>(含)-</v>
      </c>
      <c r="L118" s="3110" t="str">
        <f t="shared" si="25"/>
        <v>(含)-</v>
      </c>
      <c r="M118" s="3111" t="str">
        <f>M119&amp;"(含)"&amp;"-"&amp;P119</f>
        <v>(含)-</v>
      </c>
      <c r="N118" s="2159"/>
      <c r="O118" s="2159"/>
      <c r="P118" s="2160"/>
      <c r="Q118" s="2153"/>
      <c r="R118" s="2140"/>
      <c r="S118" s="2140"/>
      <c r="T118" s="2140"/>
      <c r="U118" s="2140"/>
      <c r="V118" s="2140"/>
      <c r="W118" s="2140"/>
      <c r="X118" s="2140"/>
      <c r="Y118" s="2140"/>
      <c r="Z118" s="2140"/>
      <c r="AA118" s="2140"/>
      <c r="AB118" s="2140"/>
      <c r="AC118" s="2140"/>
    </row>
    <row r="119" spans="1:29" ht="15">
      <c r="A119" s="665"/>
      <c r="B119" s="677"/>
      <c r="C119" s="726">
        <v>0</v>
      </c>
      <c r="D119" s="726">
        <v>40000</v>
      </c>
      <c r="E119" s="726">
        <v>80000</v>
      </c>
      <c r="F119" s="726">
        <v>120000</v>
      </c>
      <c r="G119" s="726">
        <v>160000</v>
      </c>
      <c r="H119" s="726">
        <v>200000</v>
      </c>
      <c r="I119" s="726"/>
      <c r="J119" s="2362"/>
      <c r="K119" s="2362"/>
      <c r="L119" s="2363"/>
      <c r="M119" s="2364"/>
      <c r="N119" s="2159"/>
      <c r="O119" s="2159"/>
      <c r="P119" s="2160"/>
      <c r="Q119" s="2153"/>
      <c r="R119" s="2140"/>
      <c r="S119" s="2140"/>
      <c r="T119" s="2140"/>
      <c r="U119" s="2140"/>
      <c r="V119" s="2140"/>
      <c r="W119" s="2140"/>
      <c r="X119" s="2140"/>
      <c r="Y119" s="2140"/>
      <c r="Z119" s="2140"/>
      <c r="AA119" s="2140"/>
      <c r="AB119" s="2140"/>
      <c r="AC119" s="2140"/>
    </row>
    <row r="120" spans="1:29" ht="15.75" thickBot="1">
      <c r="A120" s="665"/>
      <c r="B120" s="674"/>
      <c r="C120" s="696">
        <v>100</v>
      </c>
      <c r="D120" s="722">
        <v>101</v>
      </c>
      <c r="E120" s="722">
        <v>102</v>
      </c>
      <c r="F120" s="722">
        <v>103</v>
      </c>
      <c r="G120" s="722">
        <v>104</v>
      </c>
      <c r="H120" s="722">
        <v>105</v>
      </c>
      <c r="I120" s="722"/>
      <c r="J120" s="722"/>
      <c r="K120" s="722"/>
      <c r="L120" s="722"/>
      <c r="M120" s="723"/>
      <c r="N120" s="2161"/>
      <c r="O120" s="2161"/>
      <c r="P120" s="2160"/>
      <c r="Q120" s="2153"/>
      <c r="R120" s="2140"/>
      <c r="S120" s="2140"/>
      <c r="T120" s="2140"/>
      <c r="U120" s="2140"/>
      <c r="V120" s="2140"/>
      <c r="W120" s="2140"/>
      <c r="X120" s="2140"/>
      <c r="Y120" s="2140"/>
      <c r="Z120" s="2140"/>
      <c r="AA120" s="2140"/>
      <c r="AB120" s="2140"/>
      <c r="AC120" s="2140"/>
    </row>
    <row r="121" spans="1:29" ht="15" thickTop="1">
      <c r="A121" s="731"/>
      <c r="B121" s="669" t="s">
        <v>588</v>
      </c>
      <c r="C121" s="714" t="s">
        <v>3015</v>
      </c>
      <c r="D121" s="714" t="s">
        <v>3016</v>
      </c>
      <c r="E121" s="714" t="s">
        <v>3017</v>
      </c>
      <c r="F121" s="714" t="s">
        <v>3018</v>
      </c>
      <c r="G121" s="714"/>
      <c r="H121" s="714"/>
      <c r="I121" s="714"/>
      <c r="J121" s="714"/>
      <c r="K121" s="715"/>
      <c r="L121" s="716"/>
      <c r="M121" s="717"/>
      <c r="N121" s="2159"/>
      <c r="O121" s="2159"/>
      <c r="P121" s="2160"/>
      <c r="Q121" s="2153"/>
      <c r="R121" s="2140"/>
      <c r="S121" s="2140"/>
      <c r="T121" s="2140"/>
      <c r="U121" s="2140"/>
      <c r="V121" s="2140"/>
      <c r="W121" s="2140"/>
      <c r="X121" s="2140"/>
      <c r="Y121" s="2140"/>
      <c r="Z121" s="2140"/>
      <c r="AA121" s="2140"/>
      <c r="AB121" s="2140"/>
      <c r="AC121" s="2140"/>
    </row>
    <row r="122" spans="1:29" ht="15.75" thickBot="1">
      <c r="A122" s="665"/>
      <c r="B122" s="674"/>
      <c r="C122" s="675">
        <v>100</v>
      </c>
      <c r="D122" s="675">
        <f t="shared" ref="D122:M122" si="26">C122-$K41</f>
        <v>100</v>
      </c>
      <c r="E122" s="675">
        <f t="shared" si="26"/>
        <v>100</v>
      </c>
      <c r="F122" s="675">
        <f t="shared" si="26"/>
        <v>100</v>
      </c>
      <c r="G122" s="675">
        <f t="shared" si="26"/>
        <v>100</v>
      </c>
      <c r="H122" s="675">
        <f t="shared" si="26"/>
        <v>100</v>
      </c>
      <c r="I122" s="675">
        <f t="shared" si="26"/>
        <v>100</v>
      </c>
      <c r="J122" s="675">
        <f t="shared" si="26"/>
        <v>100</v>
      </c>
      <c r="K122" s="675">
        <f t="shared" si="26"/>
        <v>100</v>
      </c>
      <c r="L122" s="675">
        <f t="shared" si="26"/>
        <v>100</v>
      </c>
      <c r="M122" s="676">
        <f t="shared" si="26"/>
        <v>100</v>
      </c>
      <c r="N122" s="2161"/>
      <c r="O122" s="2161"/>
      <c r="P122" s="2160"/>
      <c r="Q122" s="2153"/>
      <c r="R122" s="2140"/>
      <c r="S122" s="2140"/>
      <c r="T122" s="2140"/>
      <c r="U122" s="2140"/>
      <c r="V122" s="2140"/>
      <c r="W122" s="2140"/>
      <c r="X122" s="2140"/>
      <c r="Y122" s="2140"/>
      <c r="Z122" s="2140"/>
      <c r="AA122" s="2140"/>
      <c r="AB122" s="2140"/>
      <c r="AC122" s="2140"/>
    </row>
    <row r="123" spans="1:29" ht="15" thickTop="1">
      <c r="A123" s="731"/>
      <c r="B123" s="669" t="s">
        <v>589</v>
      </c>
      <c r="C123" s="684" t="s">
        <v>3019</v>
      </c>
      <c r="D123" s="684" t="s">
        <v>3020</v>
      </c>
      <c r="E123" s="684" t="s">
        <v>3021</v>
      </c>
      <c r="F123" s="714"/>
      <c r="G123" s="714"/>
      <c r="H123" s="714"/>
      <c r="I123" s="714"/>
      <c r="J123" s="714"/>
      <c r="K123" s="715"/>
      <c r="L123" s="716"/>
      <c r="M123" s="717"/>
      <c r="N123" s="2159"/>
      <c r="O123" s="2159"/>
      <c r="P123" s="2160"/>
      <c r="Q123" s="2153"/>
      <c r="R123" s="2140"/>
      <c r="S123" s="2140"/>
      <c r="T123" s="2140"/>
      <c r="U123" s="2140"/>
      <c r="V123" s="2140"/>
      <c r="W123" s="2140"/>
      <c r="X123" s="2140"/>
      <c r="Y123" s="2140"/>
      <c r="Z123" s="2140"/>
      <c r="AA123" s="2140"/>
      <c r="AB123" s="2140"/>
      <c r="AC123" s="2140"/>
    </row>
    <row r="124" spans="1:29" ht="15.75" thickBot="1">
      <c r="A124" s="665"/>
      <c r="B124" s="674"/>
      <c r="C124" s="675">
        <v>100</v>
      </c>
      <c r="D124" s="675">
        <f t="shared" ref="D124:M124" si="27">C124-$K42</f>
        <v>100</v>
      </c>
      <c r="E124" s="675">
        <f t="shared" si="27"/>
        <v>100</v>
      </c>
      <c r="F124" s="675">
        <f t="shared" si="27"/>
        <v>100</v>
      </c>
      <c r="G124" s="675">
        <f t="shared" si="27"/>
        <v>100</v>
      </c>
      <c r="H124" s="675">
        <f t="shared" si="27"/>
        <v>100</v>
      </c>
      <c r="I124" s="675">
        <f t="shared" si="27"/>
        <v>100</v>
      </c>
      <c r="J124" s="675">
        <f t="shared" si="27"/>
        <v>100</v>
      </c>
      <c r="K124" s="675">
        <f t="shared" si="27"/>
        <v>100</v>
      </c>
      <c r="L124" s="675">
        <f t="shared" si="27"/>
        <v>100</v>
      </c>
      <c r="M124" s="676">
        <f t="shared" si="27"/>
        <v>100</v>
      </c>
      <c r="N124" s="2161"/>
      <c r="O124" s="2161"/>
      <c r="P124" s="2160"/>
      <c r="Q124" s="2153"/>
      <c r="R124" s="2140"/>
      <c r="S124" s="2140"/>
      <c r="T124" s="2140"/>
      <c r="U124" s="2140"/>
      <c r="V124" s="2140"/>
      <c r="W124" s="2140"/>
      <c r="X124" s="2140"/>
      <c r="Y124" s="2140"/>
      <c r="Z124" s="2140"/>
      <c r="AA124" s="2140"/>
      <c r="AB124" s="2140"/>
      <c r="AC124" s="2140"/>
    </row>
    <row r="125" spans="1:29" s="1334" customFormat="1" ht="15" thickTop="1">
      <c r="A125" s="724"/>
      <c r="B125" s="1891" t="s">
        <v>2420</v>
      </c>
      <c r="C125" s="1370" t="s">
        <v>3022</v>
      </c>
      <c r="D125" s="1370" t="s">
        <v>3023</v>
      </c>
      <c r="E125" s="1370" t="s">
        <v>3024</v>
      </c>
      <c r="F125" s="1370" t="s">
        <v>3025</v>
      </c>
      <c r="G125" s="1370" t="s">
        <v>3026</v>
      </c>
      <c r="H125" s="714"/>
      <c r="I125" s="714"/>
      <c r="J125" s="714"/>
      <c r="K125" s="715"/>
      <c r="L125" s="716"/>
      <c r="M125" s="717"/>
      <c r="N125" s="2162"/>
      <c r="O125" s="2162"/>
      <c r="P125" s="2163"/>
      <c r="Q125" s="2164"/>
      <c r="R125" s="2165"/>
      <c r="S125" s="2165"/>
      <c r="T125" s="2165"/>
      <c r="U125" s="2165"/>
      <c r="V125" s="2165"/>
      <c r="W125" s="2165"/>
      <c r="X125" s="2165"/>
      <c r="Y125" s="2165"/>
      <c r="Z125" s="2165"/>
      <c r="AA125" s="2165"/>
      <c r="AB125" s="2165"/>
      <c r="AC125" s="2165"/>
    </row>
    <row r="126" spans="1:29" s="1334" customFormat="1" ht="15.75" thickBot="1">
      <c r="A126" s="683"/>
      <c r="B126" s="674"/>
      <c r="C126" s="675">
        <v>100</v>
      </c>
      <c r="D126" s="675">
        <f>C126-$K43</f>
        <v>99</v>
      </c>
      <c r="E126" s="675">
        <f t="shared" ref="E126:M126" si="28">D126-$K43</f>
        <v>98</v>
      </c>
      <c r="F126" s="675">
        <f t="shared" si="28"/>
        <v>97</v>
      </c>
      <c r="G126" s="675">
        <f t="shared" si="28"/>
        <v>96</v>
      </c>
      <c r="H126" s="675">
        <f t="shared" si="28"/>
        <v>95</v>
      </c>
      <c r="I126" s="675">
        <f t="shared" si="28"/>
        <v>94</v>
      </c>
      <c r="J126" s="675">
        <f t="shared" si="28"/>
        <v>93</v>
      </c>
      <c r="K126" s="675">
        <f t="shared" si="28"/>
        <v>92</v>
      </c>
      <c r="L126" s="675">
        <f t="shared" si="28"/>
        <v>91</v>
      </c>
      <c r="M126" s="676">
        <f t="shared" si="28"/>
        <v>90</v>
      </c>
      <c r="N126" s="2162"/>
      <c r="O126" s="2162"/>
      <c r="P126" s="2163"/>
      <c r="Q126" s="2164"/>
      <c r="R126" s="2165"/>
      <c r="S126" s="2165"/>
      <c r="T126" s="2165"/>
      <c r="U126" s="2165"/>
      <c r="V126" s="2165"/>
      <c r="W126" s="2165"/>
      <c r="X126" s="2165"/>
      <c r="Y126" s="2165"/>
      <c r="Z126" s="2165"/>
      <c r="AA126" s="2165"/>
      <c r="AB126" s="2165"/>
      <c r="AC126" s="2165"/>
    </row>
    <row r="127" spans="1:29" ht="15" thickTop="1">
      <c r="A127" s="731"/>
      <c r="B127" s="669" t="s">
        <v>590</v>
      </c>
      <c r="C127" s="684" t="s">
        <v>3027</v>
      </c>
      <c r="D127" s="684" t="s">
        <v>3028</v>
      </c>
      <c r="E127" s="714" t="s">
        <v>3029</v>
      </c>
      <c r="F127" s="714" t="s">
        <v>3030</v>
      </c>
      <c r="G127" s="714" t="s">
        <v>3031</v>
      </c>
      <c r="H127" s="714"/>
      <c r="I127" s="714"/>
      <c r="J127" s="714"/>
      <c r="K127" s="715"/>
      <c r="L127" s="716"/>
      <c r="M127" s="717"/>
      <c r="N127" s="2159"/>
      <c r="O127" s="2159"/>
      <c r="P127" s="2160"/>
      <c r="Q127" s="2153"/>
      <c r="R127" s="2140"/>
      <c r="S127" s="2140"/>
      <c r="T127" s="2140"/>
      <c r="U127" s="2140"/>
      <c r="V127" s="2140"/>
      <c r="W127" s="2140"/>
      <c r="X127" s="2140"/>
      <c r="Y127" s="2140"/>
      <c r="Z127" s="2140"/>
      <c r="AA127" s="2140"/>
      <c r="AB127" s="2140"/>
      <c r="AC127" s="2140"/>
    </row>
    <row r="128" spans="1:29" ht="15.75" thickBot="1">
      <c r="A128" s="665"/>
      <c r="B128" s="674"/>
      <c r="C128" s="675">
        <v>100</v>
      </c>
      <c r="D128" s="675">
        <f t="shared" ref="D128:M128" si="29">C128-$K44</f>
        <v>98</v>
      </c>
      <c r="E128" s="675">
        <f t="shared" si="29"/>
        <v>96</v>
      </c>
      <c r="F128" s="675">
        <f t="shared" si="29"/>
        <v>94</v>
      </c>
      <c r="G128" s="675">
        <f t="shared" si="29"/>
        <v>92</v>
      </c>
      <c r="H128" s="675">
        <f t="shared" si="29"/>
        <v>90</v>
      </c>
      <c r="I128" s="675">
        <f t="shared" si="29"/>
        <v>88</v>
      </c>
      <c r="J128" s="675">
        <f t="shared" si="29"/>
        <v>86</v>
      </c>
      <c r="K128" s="675">
        <f t="shared" si="29"/>
        <v>84</v>
      </c>
      <c r="L128" s="675">
        <f t="shared" si="29"/>
        <v>82</v>
      </c>
      <c r="M128" s="676">
        <f t="shared" si="29"/>
        <v>80</v>
      </c>
      <c r="N128" s="2161"/>
      <c r="O128" s="2161"/>
      <c r="P128" s="2160"/>
      <c r="Q128" s="2153"/>
      <c r="R128" s="2140"/>
      <c r="S128" s="2140"/>
      <c r="T128" s="2140"/>
      <c r="U128" s="2140"/>
      <c r="V128" s="2140"/>
      <c r="W128" s="2140"/>
      <c r="X128" s="2140"/>
      <c r="Y128" s="2140"/>
      <c r="Z128" s="2140"/>
      <c r="AA128" s="2140"/>
      <c r="AB128" s="2140"/>
      <c r="AC128" s="2140"/>
    </row>
    <row r="129" spans="1:29" ht="15" thickTop="1">
      <c r="A129" s="731"/>
      <c r="B129" s="669">
        <f>B45</f>
        <v>111</v>
      </c>
      <c r="C129" s="684"/>
      <c r="D129" s="684"/>
      <c r="E129" s="684"/>
      <c r="F129" s="684"/>
      <c r="G129" s="684"/>
      <c r="H129" s="714"/>
      <c r="I129" s="714"/>
      <c r="J129" s="714"/>
      <c r="K129" s="715"/>
      <c r="L129" s="716"/>
      <c r="M129" s="717"/>
      <c r="N129" s="2159"/>
      <c r="O129" s="2159"/>
      <c r="P129" s="2160"/>
      <c r="Q129" s="2153"/>
      <c r="R129" s="2140"/>
      <c r="S129" s="2140"/>
      <c r="T129" s="2140"/>
      <c r="U129" s="2140"/>
      <c r="V129" s="2140"/>
      <c r="W129" s="2140"/>
      <c r="X129" s="2140"/>
      <c r="Y129" s="2140"/>
      <c r="Z129" s="2140"/>
      <c r="AA129" s="2140"/>
      <c r="AB129" s="2140"/>
      <c r="AC129" s="2140"/>
    </row>
    <row r="130" spans="1:29" ht="15.75" thickBot="1">
      <c r="A130" s="665"/>
      <c r="B130" s="674"/>
      <c r="C130" s="688"/>
      <c r="D130" s="688"/>
      <c r="E130" s="688"/>
      <c r="F130" s="688"/>
      <c r="G130" s="667"/>
      <c r="H130" s="667"/>
      <c r="I130" s="667"/>
      <c r="J130" s="667"/>
      <c r="K130" s="667"/>
      <c r="L130" s="667"/>
      <c r="M130" s="668"/>
      <c r="N130" s="2161"/>
      <c r="O130" s="2161"/>
      <c r="P130" s="2160"/>
      <c r="Q130" s="2153"/>
      <c r="R130" s="2140"/>
      <c r="S130" s="2140"/>
      <c r="T130" s="2140"/>
      <c r="U130" s="2140"/>
      <c r="V130" s="2140"/>
      <c r="W130" s="2140"/>
      <c r="X130" s="2140"/>
      <c r="Y130" s="2140"/>
      <c r="Z130" s="2140"/>
      <c r="AA130" s="2140"/>
      <c r="AB130" s="2140"/>
      <c r="AC130" s="2140"/>
    </row>
    <row r="131" spans="1:29" ht="15" thickTop="1">
      <c r="A131" s="731"/>
      <c r="B131" s="669">
        <f>B46</f>
        <v>111</v>
      </c>
      <c r="C131" s="657"/>
      <c r="D131" s="657"/>
      <c r="E131" s="657"/>
      <c r="F131" s="657"/>
      <c r="G131" s="714"/>
      <c r="H131" s="714"/>
      <c r="I131" s="714"/>
      <c r="J131" s="714"/>
      <c r="K131" s="715"/>
      <c r="L131" s="716"/>
      <c r="M131" s="717"/>
      <c r="N131" s="2159"/>
      <c r="O131" s="2159"/>
      <c r="P131" s="2160"/>
      <c r="Q131" s="2153"/>
      <c r="R131" s="2140"/>
      <c r="S131" s="2140"/>
      <c r="T131" s="2140"/>
      <c r="U131" s="2140"/>
      <c r="V131" s="2140"/>
      <c r="W131" s="2140"/>
      <c r="X131" s="2140"/>
      <c r="Y131" s="2140"/>
      <c r="Z131" s="2140"/>
      <c r="AA131" s="2140"/>
      <c r="AB131" s="2140"/>
      <c r="AC131" s="2140"/>
    </row>
    <row r="132" spans="1:29" ht="15.75" thickBot="1">
      <c r="A132" s="665"/>
      <c r="B132" s="674"/>
      <c r="C132" s="696"/>
      <c r="D132" s="696"/>
      <c r="E132" s="696"/>
      <c r="F132" s="696"/>
      <c r="G132" s="667"/>
      <c r="H132" s="667"/>
      <c r="I132" s="667"/>
      <c r="J132" s="667"/>
      <c r="K132" s="667"/>
      <c r="L132" s="667"/>
      <c r="M132" s="668"/>
      <c r="N132" s="2161"/>
      <c r="O132" s="2161"/>
      <c r="P132" s="2160"/>
      <c r="Q132" s="2153"/>
      <c r="R132" s="2140"/>
      <c r="S132" s="2140"/>
      <c r="T132" s="2140"/>
      <c r="U132" s="2140"/>
      <c r="V132" s="2140"/>
      <c r="W132" s="2140"/>
      <c r="X132" s="2140"/>
      <c r="Y132" s="2140"/>
      <c r="Z132" s="2140"/>
      <c r="AA132" s="2140"/>
      <c r="AB132" s="2140"/>
      <c r="AC132" s="2140"/>
    </row>
    <row r="133" spans="1:29" s="1334" customFormat="1" ht="15" thickTop="1">
      <c r="A133" s="724"/>
      <c r="B133" s="669">
        <f>B47</f>
        <v>111</v>
      </c>
      <c r="C133" s="657"/>
      <c r="D133" s="657"/>
      <c r="E133" s="657"/>
      <c r="F133" s="657"/>
      <c r="G133" s="685"/>
      <c r="H133" s="685"/>
      <c r="I133" s="685"/>
      <c r="J133" s="685"/>
      <c r="K133" s="685"/>
      <c r="L133" s="686"/>
      <c r="M133" s="687"/>
      <c r="N133" s="2162"/>
      <c r="O133" s="2162"/>
      <c r="P133" s="2163"/>
      <c r="Q133" s="2164"/>
      <c r="R133" s="2165"/>
      <c r="S133" s="2165"/>
      <c r="T133" s="2165"/>
      <c r="U133" s="2165"/>
      <c r="V133" s="2165"/>
      <c r="W133" s="2165"/>
      <c r="X133" s="2165"/>
      <c r="Y133" s="2165"/>
      <c r="Z133" s="2165"/>
      <c r="AA133" s="2165"/>
      <c r="AB133" s="2165"/>
      <c r="AC133" s="2165"/>
    </row>
    <row r="134" spans="1:29" s="1334" customFormat="1" ht="15.75" thickBot="1">
      <c r="A134" s="694"/>
      <c r="B134" s="732"/>
      <c r="C134" s="696"/>
      <c r="D134" s="696"/>
      <c r="E134" s="696"/>
      <c r="F134" s="696"/>
      <c r="G134" s="722"/>
      <c r="H134" s="722"/>
      <c r="I134" s="722"/>
      <c r="J134" s="722"/>
      <c r="K134" s="722"/>
      <c r="L134" s="722"/>
      <c r="M134" s="723"/>
      <c r="N134" s="2162"/>
      <c r="O134" s="2162"/>
      <c r="P134" s="2163"/>
      <c r="Q134" s="2164"/>
      <c r="R134" s="2165"/>
      <c r="S134" s="2165"/>
      <c r="T134" s="2165"/>
      <c r="U134" s="2165"/>
      <c r="V134" s="2165"/>
      <c r="W134" s="2165"/>
      <c r="X134" s="2165"/>
      <c r="Y134" s="2165"/>
      <c r="Z134" s="2165"/>
      <c r="AA134" s="2165"/>
      <c r="AB134" s="2165"/>
      <c r="AC134" s="2165"/>
    </row>
    <row r="135" spans="1:29" s="1582" customFormat="1">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s="1582" customFormat="1">
      <c r="A136" s="2170"/>
      <c r="B136" s="2170"/>
      <c r="C136" s="2170"/>
      <c r="D136" s="2170"/>
      <c r="E136" s="2170"/>
      <c r="F136" s="2170"/>
      <c r="G136" s="2170"/>
      <c r="H136" s="2170"/>
      <c r="I136" s="2170"/>
      <c r="J136" s="2170"/>
      <c r="K136" s="2171"/>
      <c r="L136" s="2172"/>
      <c r="M136" s="2170"/>
      <c r="N136" s="2170"/>
      <c r="O136" s="2170"/>
      <c r="P136" s="2170"/>
      <c r="Q136" s="2170"/>
      <c r="R136" s="2170"/>
      <c r="S136" s="2170"/>
      <c r="T136" s="2170"/>
      <c r="U136" s="2170"/>
      <c r="V136" s="2170"/>
      <c r="W136" s="2170"/>
      <c r="X136" s="2170"/>
      <c r="Y136" s="2170"/>
      <c r="Z136" s="2170"/>
      <c r="AA136" s="2170"/>
      <c r="AB136" s="2170"/>
      <c r="AC136" s="2170"/>
    </row>
    <row r="137" spans="1:29" s="1582" customFormat="1">
      <c r="A137" s="2170"/>
      <c r="B137" s="2170"/>
      <c r="C137" s="2170"/>
      <c r="D137" s="2170"/>
      <c r="E137" s="2170"/>
      <c r="F137" s="2170"/>
      <c r="G137" s="2170"/>
      <c r="H137" s="2170"/>
      <c r="I137" s="2170"/>
      <c r="J137" s="2170"/>
      <c r="K137" s="2171"/>
      <c r="L137" s="2172"/>
      <c r="M137" s="2170"/>
      <c r="N137" s="2170"/>
      <c r="O137" s="2170"/>
      <c r="P137" s="2170"/>
      <c r="Q137" s="2170"/>
      <c r="R137" s="2170"/>
      <c r="S137" s="2170"/>
      <c r="T137" s="2170"/>
      <c r="U137" s="2170"/>
      <c r="V137" s="2170"/>
      <c r="W137" s="2170"/>
      <c r="X137" s="2170"/>
      <c r="Y137" s="2170"/>
      <c r="Z137" s="2170"/>
      <c r="AA137" s="2170"/>
      <c r="AB137" s="2170"/>
      <c r="AC137" s="2170"/>
    </row>
    <row r="138" spans="1:29" s="1582" customFormat="1">
      <c r="A138" s="2170"/>
      <c r="B138" s="2170"/>
      <c r="C138" s="2170"/>
      <c r="D138" s="2170"/>
      <c r="E138" s="2170"/>
      <c r="F138" s="2170"/>
      <c r="G138" s="2170"/>
      <c r="H138" s="2170"/>
      <c r="I138" s="2170"/>
      <c r="J138" s="2170"/>
      <c r="K138" s="2171"/>
      <c r="L138" s="2172"/>
      <c r="M138" s="2170"/>
      <c r="N138" s="2170"/>
      <c r="O138" s="2170"/>
      <c r="P138" s="2170"/>
      <c r="Q138" s="2170"/>
      <c r="R138" s="2170"/>
      <c r="S138" s="2170"/>
      <c r="T138" s="2170"/>
      <c r="U138" s="2170"/>
      <c r="V138" s="2170"/>
      <c r="W138" s="2170"/>
      <c r="X138" s="2170"/>
      <c r="Y138" s="2170"/>
      <c r="Z138" s="2170"/>
      <c r="AA138" s="2170"/>
      <c r="AB138" s="2170"/>
      <c r="AC138" s="2170"/>
    </row>
    <row r="139" spans="1:29" s="1582" customFormat="1">
      <c r="A139" s="2170"/>
      <c r="B139" s="2170"/>
      <c r="C139" s="2170"/>
      <c r="D139" s="2170"/>
      <c r="E139" s="2170"/>
      <c r="F139" s="2170"/>
      <c r="G139" s="2170"/>
      <c r="H139" s="2170"/>
      <c r="I139" s="2170"/>
      <c r="J139" s="2170"/>
      <c r="K139" s="2171"/>
      <c r="L139" s="2172"/>
      <c r="M139" s="2170"/>
      <c r="N139" s="2170"/>
      <c r="O139" s="2170"/>
      <c r="P139" s="2170"/>
      <c r="Q139" s="2170"/>
      <c r="R139" s="2170"/>
      <c r="S139" s="2170"/>
      <c r="T139" s="2170"/>
      <c r="U139" s="2170"/>
      <c r="V139" s="2170"/>
      <c r="W139" s="2170"/>
      <c r="X139" s="2170"/>
      <c r="Y139" s="2170"/>
      <c r="Z139" s="2170"/>
      <c r="AA139" s="2170"/>
      <c r="AB139" s="2170"/>
      <c r="AC139" s="2170"/>
    </row>
    <row r="140" spans="1:29" s="1582" customFormat="1">
      <c r="A140" s="2170"/>
      <c r="B140" s="2170"/>
      <c r="C140" s="2170"/>
      <c r="D140" s="2170"/>
      <c r="E140" s="2170"/>
      <c r="F140" s="2170"/>
      <c r="G140" s="2170"/>
      <c r="H140" s="2170"/>
      <c r="I140" s="2170"/>
      <c r="J140" s="2170"/>
      <c r="K140" s="2171"/>
      <c r="L140" s="2172"/>
      <c r="M140" s="2170"/>
      <c r="N140" s="2170"/>
      <c r="O140" s="2170"/>
      <c r="P140" s="2170"/>
      <c r="Q140" s="2170"/>
      <c r="R140" s="2170"/>
      <c r="S140" s="2170"/>
      <c r="T140" s="2170"/>
      <c r="U140" s="2170"/>
      <c r="V140" s="2170"/>
      <c r="W140" s="2170"/>
      <c r="X140" s="2170"/>
      <c r="Y140" s="2170"/>
      <c r="Z140" s="2170"/>
      <c r="AA140" s="2170"/>
      <c r="AB140" s="2170"/>
      <c r="AC140" s="2170"/>
    </row>
    <row r="141" spans="1:29" s="1582" customFormat="1">
      <c r="A141" s="2170"/>
      <c r="B141" s="2170"/>
      <c r="C141" s="2170"/>
      <c r="D141" s="2170"/>
      <c r="E141" s="2170"/>
      <c r="F141" s="2170"/>
      <c r="G141" s="2170"/>
      <c r="H141" s="2170"/>
      <c r="I141" s="2170"/>
      <c r="J141" s="2170"/>
      <c r="K141" s="2171"/>
      <c r="L141" s="2172"/>
      <c r="M141" s="2170"/>
      <c r="N141" s="2170"/>
      <c r="O141" s="2170"/>
      <c r="P141" s="2170"/>
      <c r="Q141" s="2170"/>
      <c r="R141" s="2170"/>
      <c r="S141" s="2170"/>
      <c r="T141" s="2170"/>
      <c r="U141" s="2170"/>
      <c r="V141" s="2170"/>
      <c r="W141" s="2170"/>
      <c r="X141" s="2170"/>
      <c r="Y141" s="2170"/>
      <c r="Z141" s="2170"/>
      <c r="AA141" s="2170"/>
      <c r="AB141" s="2170"/>
      <c r="AC141" s="2170"/>
    </row>
    <row r="142" spans="1:29" s="1582" customFormat="1">
      <c r="A142" s="2170"/>
      <c r="B142" s="2170"/>
      <c r="C142" s="2170"/>
      <c r="D142" s="2170"/>
      <c r="E142" s="2170"/>
      <c r="F142" s="2170"/>
      <c r="G142" s="2170"/>
      <c r="H142" s="2170"/>
      <c r="I142" s="2170"/>
      <c r="J142" s="2170"/>
      <c r="K142" s="2171"/>
      <c r="L142" s="2172"/>
      <c r="M142" s="2170"/>
      <c r="N142" s="2170"/>
      <c r="O142" s="2170"/>
      <c r="P142" s="2170"/>
      <c r="Q142" s="2170"/>
      <c r="R142" s="2170"/>
      <c r="S142" s="2170"/>
      <c r="T142" s="2170"/>
      <c r="U142" s="2170"/>
      <c r="V142" s="2170"/>
      <c r="W142" s="2170"/>
      <c r="X142" s="2170"/>
      <c r="Y142" s="2170"/>
      <c r="Z142" s="2170"/>
      <c r="AA142" s="2170"/>
      <c r="AB142" s="2170"/>
      <c r="AC142" s="2170"/>
    </row>
    <row r="143" spans="1:29" s="1582" customFormat="1">
      <c r="A143" s="2170"/>
      <c r="B143" s="2170"/>
      <c r="C143" s="2170"/>
      <c r="D143" s="2170"/>
      <c r="E143" s="2170"/>
      <c r="F143" s="2170"/>
      <c r="G143" s="2170"/>
      <c r="H143" s="2170"/>
      <c r="I143" s="2170"/>
      <c r="J143" s="2170"/>
      <c r="K143" s="2171"/>
      <c r="L143" s="2172"/>
      <c r="M143" s="2170"/>
      <c r="N143" s="2170"/>
      <c r="O143" s="2170"/>
      <c r="P143" s="2170"/>
      <c r="Q143" s="2170"/>
      <c r="R143" s="2170"/>
      <c r="S143" s="2170"/>
      <c r="T143" s="2170"/>
      <c r="U143" s="2170"/>
      <c r="V143" s="2170"/>
      <c r="W143" s="2170"/>
      <c r="X143" s="2170"/>
      <c r="Y143" s="2170"/>
      <c r="Z143" s="2170"/>
      <c r="AA143" s="2170"/>
      <c r="AB143" s="2170"/>
      <c r="AC143" s="2170"/>
    </row>
    <row r="144" spans="1:29" s="1582" customFormat="1">
      <c r="A144" s="2170"/>
      <c r="B144" s="2170"/>
      <c r="C144" s="2170"/>
      <c r="D144" s="2170"/>
      <c r="E144" s="2170"/>
      <c r="F144" s="2170"/>
      <c r="G144" s="2170"/>
      <c r="H144" s="2170"/>
      <c r="I144" s="2170"/>
      <c r="J144" s="2170"/>
      <c r="K144" s="2171"/>
      <c r="L144" s="2172"/>
      <c r="M144" s="2170"/>
      <c r="N144" s="2170"/>
      <c r="O144" s="2170"/>
      <c r="P144" s="2170"/>
      <c r="Q144" s="2170"/>
      <c r="R144" s="2170"/>
      <c r="S144" s="2170"/>
      <c r="T144" s="2170"/>
      <c r="U144" s="2170"/>
      <c r="V144" s="2170"/>
      <c r="W144" s="2170"/>
      <c r="X144" s="2170"/>
      <c r="Y144" s="2170"/>
      <c r="Z144" s="2170"/>
      <c r="AA144" s="2170"/>
      <c r="AB144" s="2170"/>
      <c r="AC144" s="2170"/>
    </row>
    <row r="145" spans="1:29" s="1582" customFormat="1">
      <c r="A145" s="2170"/>
      <c r="B145" s="2170"/>
      <c r="C145" s="2170"/>
      <c r="D145" s="2170"/>
      <c r="E145" s="2170"/>
      <c r="F145" s="2170"/>
      <c r="G145" s="2170"/>
      <c r="H145" s="2170"/>
      <c r="I145" s="2170"/>
      <c r="J145" s="2170"/>
      <c r="K145" s="2171"/>
      <c r="L145" s="2172"/>
      <c r="M145" s="2170"/>
      <c r="N145" s="2170"/>
      <c r="O145" s="2170"/>
      <c r="P145" s="2170"/>
      <c r="Q145" s="2170"/>
      <c r="R145" s="2170"/>
      <c r="S145" s="2170"/>
      <c r="T145" s="2170"/>
      <c r="U145" s="2170"/>
      <c r="V145" s="2170"/>
      <c r="W145" s="2170"/>
      <c r="X145" s="2170"/>
      <c r="Y145" s="2170"/>
      <c r="Z145" s="2170"/>
      <c r="AA145" s="2170"/>
      <c r="AB145" s="2170"/>
      <c r="AC145" s="2170"/>
    </row>
    <row r="146" spans="1:29" s="1582" customFormat="1">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s="1582" customFormat="1">
      <c r="A147" s="2170"/>
      <c r="B147" s="2170"/>
      <c r="C147" s="2170"/>
      <c r="D147" s="2170"/>
      <c r="E147" s="2170"/>
      <c r="F147" s="2170"/>
      <c r="G147" s="2170"/>
      <c r="H147" s="2170"/>
      <c r="I147" s="2170"/>
      <c r="J147" s="2170"/>
      <c r="K147" s="2171"/>
      <c r="L147" s="2172"/>
      <c r="M147" s="2170"/>
      <c r="N147" s="2170"/>
      <c r="O147" s="2170"/>
      <c r="P147" s="2170"/>
      <c r="Q147" s="2170"/>
      <c r="R147" s="2170"/>
      <c r="S147" s="2170"/>
      <c r="T147" s="2170"/>
      <c r="U147" s="2170"/>
      <c r="V147" s="2170"/>
      <c r="W147" s="2170"/>
      <c r="X147" s="2170"/>
      <c r="Y147" s="2170"/>
      <c r="Z147" s="2170"/>
      <c r="AA147" s="2170"/>
      <c r="AB147" s="2170"/>
      <c r="AC147" s="2170"/>
    </row>
    <row r="148" spans="1:29" s="1582" customFormat="1">
      <c r="A148" s="2170"/>
      <c r="B148" s="2170"/>
      <c r="C148" s="2170"/>
      <c r="D148" s="2170"/>
      <c r="E148" s="2170"/>
      <c r="F148" s="2170"/>
      <c r="G148" s="2170"/>
      <c r="H148" s="2170"/>
      <c r="I148" s="2170"/>
      <c r="J148" s="2170"/>
      <c r="K148" s="2171"/>
      <c r="L148" s="2172"/>
      <c r="M148" s="2170"/>
      <c r="N148" s="2170"/>
      <c r="O148" s="2170"/>
      <c r="P148" s="2170"/>
      <c r="Q148" s="2170"/>
      <c r="R148" s="2170"/>
      <c r="S148" s="2170"/>
      <c r="T148" s="2170"/>
      <c r="U148" s="2170"/>
      <c r="V148" s="2170"/>
      <c r="W148" s="2170"/>
      <c r="X148" s="2170"/>
      <c r="Y148" s="2170"/>
      <c r="Z148" s="2170"/>
      <c r="AA148" s="2170"/>
      <c r="AB148" s="2170"/>
      <c r="AC148" s="2170"/>
    </row>
    <row r="149" spans="1:29" s="1582" customFormat="1">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s="1582" customFormat="1">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s="1582" customFormat="1">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s="1582" customFormat="1">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s="1582" customFormat="1">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s="1582" customFormat="1">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s="1582" customFormat="1">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s="1582" customFormat="1">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s="1582" customFormat="1">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s="1582" customFormat="1">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s="1582" customFormat="1">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s="1582" customFormat="1">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s="1582" customFormat="1">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s="1582" customFormat="1">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s="1582" customFormat="1">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s="1582" customFormat="1">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s="1582" customFormat="1">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s="1582" customFormat="1">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s="1582" customFormat="1">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s="1582" customFormat="1">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s="1582" customFormat="1">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s="1582" customFormat="1">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s="1582" customFormat="1">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s="1582" customFormat="1">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s="1582" customFormat="1">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s="1582" customFormat="1">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s="1582" customFormat="1">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s="1582" customFormat="1">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s="1582" customFormat="1">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s="1582" customFormat="1">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s="1582" customFormat="1">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s="1582" customFormat="1">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s="1582" customFormat="1">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s="1582" customFormat="1">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s="1582" customFormat="1">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s="1582" customFormat="1">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s="1582" customFormat="1">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s="1582" customFormat="1">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s="1582" customFormat="1">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s="1582" customFormat="1">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s="1582" customFormat="1">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s="1582" customFormat="1">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s="1582" customFormat="1">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s="1582" customFormat="1">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s="1582" customFormat="1">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s="1582" customFormat="1">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s="1582" customFormat="1">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s="1582" customFormat="1">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s="1582" customFormat="1">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s="1582" customFormat="1">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s="1582" customFormat="1">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s="1582" customFormat="1">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s="1582" customFormat="1">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s="1582" customFormat="1">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s="1582" customFormat="1">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s="1582" customFormat="1">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s="1582" customFormat="1">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s="1582" customFormat="1">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s="1582" customFormat="1">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s="1582" customFormat="1">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s="1582" customFormat="1">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row r="210" spans="1:29" s="1582" customFormat="1">
      <c r="A210" s="2170"/>
      <c r="B210" s="2170"/>
      <c r="C210" s="2170"/>
      <c r="D210" s="2170"/>
      <c r="E210" s="2170"/>
      <c r="F210" s="2170"/>
      <c r="G210" s="2170"/>
      <c r="H210" s="2170"/>
      <c r="I210" s="2170"/>
      <c r="J210" s="2170"/>
      <c r="K210" s="2171"/>
      <c r="L210" s="2172"/>
      <c r="M210" s="2170"/>
      <c r="N210" s="2170"/>
      <c r="O210" s="2170"/>
      <c r="P210" s="2170"/>
      <c r="Q210" s="2170"/>
      <c r="R210" s="2170"/>
      <c r="S210" s="2170"/>
      <c r="T210" s="2170"/>
      <c r="U210" s="2170"/>
      <c r="V210" s="2170"/>
      <c r="W210" s="2170"/>
      <c r="X210" s="2170"/>
      <c r="Y210" s="2170"/>
      <c r="Z210" s="2170"/>
      <c r="AA210" s="2170"/>
      <c r="AB210" s="2170"/>
      <c r="AC210" s="2170"/>
    </row>
    <row r="211" spans="1:29" s="1582" customFormat="1">
      <c r="A211" s="2170"/>
      <c r="B211" s="2170"/>
      <c r="C211" s="2170"/>
      <c r="D211" s="2170"/>
      <c r="E211" s="2170"/>
      <c r="F211" s="2170"/>
      <c r="G211" s="2170"/>
      <c r="H211" s="2170"/>
      <c r="I211" s="2170"/>
      <c r="J211" s="2170"/>
      <c r="K211" s="2171"/>
      <c r="L211" s="2172"/>
      <c r="M211" s="2170"/>
      <c r="N211" s="2170"/>
      <c r="O211" s="2170"/>
      <c r="P211" s="2170"/>
      <c r="Q211" s="2170"/>
      <c r="R211" s="2170"/>
      <c r="S211" s="2170"/>
      <c r="T211" s="2170"/>
      <c r="U211" s="2170"/>
      <c r="V211" s="2170"/>
      <c r="W211" s="2170"/>
      <c r="X211" s="2170"/>
      <c r="Y211" s="2170"/>
      <c r="Z211" s="2170"/>
      <c r="AA211" s="2170"/>
      <c r="AB211" s="2170"/>
      <c r="AC211" s="2170"/>
    </row>
    <row r="212" spans="1:29" s="1582" customFormat="1">
      <c r="A212" s="2170"/>
      <c r="B212" s="2170"/>
      <c r="C212" s="2170"/>
      <c r="D212" s="2170"/>
      <c r="E212" s="2170"/>
      <c r="F212" s="2170"/>
      <c r="G212" s="2170"/>
      <c r="H212" s="2170"/>
      <c r="I212" s="2170"/>
      <c r="J212" s="2170"/>
      <c r="K212" s="2171"/>
      <c r="L212" s="2172"/>
      <c r="M212" s="2170"/>
      <c r="N212" s="2170"/>
      <c r="O212" s="2170"/>
      <c r="P212" s="2170"/>
      <c r="Q212" s="2170"/>
      <c r="R212" s="2170"/>
      <c r="S212" s="2170"/>
      <c r="T212" s="2170"/>
      <c r="U212" s="2170"/>
      <c r="V212" s="2170"/>
      <c r="W212" s="2170"/>
      <c r="X212" s="2170"/>
      <c r="Y212" s="2170"/>
      <c r="Z212" s="2170"/>
      <c r="AA212" s="2170"/>
      <c r="AB212" s="2170"/>
      <c r="AC212" s="2170"/>
    </row>
    <row r="213" spans="1:29" s="1582" customFormat="1">
      <c r="A213" s="2170"/>
      <c r="B213" s="2170"/>
      <c r="C213" s="2170"/>
      <c r="D213" s="2170"/>
      <c r="E213" s="2170"/>
      <c r="F213" s="2170"/>
      <c r="G213" s="2170"/>
      <c r="H213" s="2170"/>
      <c r="I213" s="2170"/>
      <c r="J213" s="2170"/>
      <c r="K213" s="2171"/>
      <c r="L213" s="2172"/>
      <c r="M213" s="2170"/>
      <c r="N213" s="2170"/>
      <c r="O213" s="2170"/>
      <c r="P213" s="2170"/>
      <c r="Q213" s="2170"/>
      <c r="R213" s="2170"/>
      <c r="S213" s="2170"/>
      <c r="T213" s="2170"/>
      <c r="U213" s="2170"/>
      <c r="V213" s="2170"/>
      <c r="W213" s="2170"/>
      <c r="X213" s="2170"/>
      <c r="Y213" s="2170"/>
      <c r="Z213" s="2170"/>
      <c r="AA213" s="2170"/>
      <c r="AB213" s="2170"/>
      <c r="AC213" s="2170"/>
    </row>
    <row r="214" spans="1:29" s="1582" customFormat="1">
      <c r="A214" s="2170"/>
      <c r="B214" s="2170"/>
      <c r="C214" s="2170"/>
      <c r="D214" s="2170"/>
      <c r="E214" s="2170"/>
      <c r="F214" s="2170"/>
      <c r="G214" s="2170"/>
      <c r="H214" s="2170"/>
      <c r="I214" s="2170"/>
      <c r="J214" s="2170"/>
      <c r="K214" s="2171"/>
      <c r="L214" s="2172"/>
      <c r="M214" s="2170"/>
      <c r="N214" s="2170"/>
      <c r="O214" s="2170"/>
      <c r="P214" s="2170"/>
      <c r="Q214" s="2170"/>
      <c r="R214" s="2170"/>
      <c r="S214" s="2170"/>
      <c r="T214" s="2170"/>
      <c r="U214" s="2170"/>
      <c r="V214" s="2170"/>
      <c r="W214" s="2170"/>
      <c r="X214" s="2170"/>
      <c r="Y214" s="2170"/>
      <c r="Z214" s="2170"/>
      <c r="AA214" s="2170"/>
      <c r="AB214" s="2170"/>
      <c r="AC214" s="2170"/>
    </row>
    <row r="215" spans="1:29" s="1582" customFormat="1">
      <c r="A215" s="2170"/>
      <c r="B215" s="2170"/>
      <c r="C215" s="2170"/>
      <c r="D215" s="2170"/>
      <c r="E215" s="2170"/>
      <c r="F215" s="2170"/>
      <c r="G215" s="2170"/>
      <c r="H215" s="2170"/>
      <c r="I215" s="2170"/>
      <c r="J215" s="2170"/>
      <c r="K215" s="2171"/>
      <c r="L215" s="2172"/>
      <c r="M215" s="2170"/>
      <c r="N215" s="2170"/>
      <c r="O215" s="2170"/>
      <c r="P215" s="2170"/>
      <c r="Q215" s="2170"/>
      <c r="R215" s="2170"/>
      <c r="S215" s="2170"/>
      <c r="T215" s="2170"/>
      <c r="U215" s="2170"/>
      <c r="V215" s="2170"/>
      <c r="W215" s="2170"/>
      <c r="X215" s="2170"/>
      <c r="Y215" s="2170"/>
      <c r="Z215" s="2170"/>
      <c r="AA215" s="2170"/>
      <c r="AB215" s="2170"/>
      <c r="AC215" s="2170"/>
    </row>
    <row r="216" spans="1:29" s="1582" customFormat="1">
      <c r="A216" s="2170"/>
      <c r="B216" s="2170"/>
      <c r="C216" s="2170"/>
      <c r="D216" s="2170"/>
      <c r="E216" s="2170"/>
      <c r="F216" s="2170"/>
      <c r="G216" s="2170"/>
      <c r="H216" s="2170"/>
      <c r="I216" s="2170"/>
      <c r="J216" s="2170"/>
      <c r="K216" s="2171"/>
      <c r="L216" s="2172"/>
      <c r="M216" s="2170"/>
      <c r="N216" s="2170"/>
      <c r="O216" s="2170"/>
      <c r="P216" s="2170"/>
      <c r="Q216" s="2170"/>
      <c r="R216" s="2170"/>
      <c r="S216" s="2170"/>
      <c r="T216" s="2170"/>
      <c r="U216" s="2170"/>
      <c r="V216" s="2170"/>
      <c r="W216" s="2170"/>
      <c r="X216" s="2170"/>
      <c r="Y216" s="2170"/>
      <c r="Z216" s="2170"/>
      <c r="AA216" s="2170"/>
      <c r="AB216" s="2170"/>
      <c r="AC216" s="2170"/>
    </row>
    <row r="217" spans="1:29" s="1582" customFormat="1">
      <c r="A217" s="2170"/>
      <c r="B217" s="2170"/>
      <c r="C217" s="2170"/>
      <c r="D217" s="2170"/>
      <c r="E217" s="2170"/>
      <c r="F217" s="2170"/>
      <c r="G217" s="2170"/>
      <c r="H217" s="2170"/>
      <c r="I217" s="2170"/>
      <c r="J217" s="2170"/>
      <c r="K217" s="2171"/>
      <c r="L217" s="2172"/>
      <c r="M217" s="2170"/>
      <c r="N217" s="2170"/>
      <c r="O217" s="2170"/>
      <c r="P217" s="2170"/>
      <c r="Q217" s="2170"/>
      <c r="R217" s="2170"/>
      <c r="S217" s="2170"/>
      <c r="T217" s="2170"/>
      <c r="U217" s="2170"/>
      <c r="V217" s="2170"/>
      <c r="W217" s="2170"/>
      <c r="X217" s="2170"/>
      <c r="Y217" s="2170"/>
      <c r="Z217" s="2170"/>
      <c r="AA217" s="2170"/>
      <c r="AB217" s="2170"/>
      <c r="AC217" s="2170"/>
    </row>
    <row r="218" spans="1:29" s="1582" customFormat="1">
      <c r="A218" s="2170"/>
      <c r="B218" s="2170"/>
      <c r="C218" s="2170"/>
      <c r="D218" s="2170"/>
      <c r="E218" s="2170"/>
      <c r="F218" s="2170"/>
      <c r="G218" s="2170"/>
      <c r="H218" s="2170"/>
      <c r="I218" s="2170"/>
      <c r="J218" s="2170"/>
      <c r="K218" s="2171"/>
      <c r="L218" s="2172"/>
      <c r="M218" s="2170"/>
      <c r="N218" s="2170"/>
      <c r="O218" s="2170"/>
      <c r="P218" s="2170"/>
      <c r="Q218" s="2170"/>
      <c r="R218" s="2170"/>
      <c r="S218" s="2170"/>
      <c r="T218" s="2170"/>
      <c r="U218" s="2170"/>
      <c r="V218" s="2170"/>
      <c r="W218" s="2170"/>
      <c r="X218" s="2170"/>
      <c r="Y218" s="2170"/>
      <c r="Z218" s="2170"/>
      <c r="AA218" s="2170"/>
      <c r="AB218" s="2170"/>
      <c r="AC218" s="2170"/>
    </row>
    <row r="219" spans="1:29" s="1582" customFormat="1">
      <c r="A219" s="2170"/>
      <c r="B219" s="2170"/>
      <c r="C219" s="2170"/>
      <c r="D219" s="2170"/>
      <c r="E219" s="2170"/>
      <c r="F219" s="2170"/>
      <c r="G219" s="2170"/>
      <c r="H219" s="2170"/>
      <c r="I219" s="2170"/>
      <c r="J219" s="2170"/>
      <c r="K219" s="2171"/>
      <c r="L219" s="2172"/>
      <c r="M219" s="2170"/>
      <c r="N219" s="2170"/>
      <c r="O219" s="2170"/>
      <c r="P219" s="2170"/>
      <c r="Q219" s="2170"/>
      <c r="R219" s="2170"/>
      <c r="S219" s="2170"/>
      <c r="T219" s="2170"/>
      <c r="U219" s="2170"/>
      <c r="V219" s="2170"/>
      <c r="W219" s="2170"/>
      <c r="X219" s="2170"/>
      <c r="Y219" s="2170"/>
      <c r="Z219" s="2170"/>
      <c r="AA219" s="2170"/>
      <c r="AB219" s="2170"/>
      <c r="AC219" s="2170"/>
    </row>
    <row r="220" spans="1:29" s="1582" customFormat="1">
      <c r="A220" s="2170"/>
      <c r="B220" s="2170"/>
      <c r="C220" s="2170"/>
      <c r="D220" s="2170"/>
      <c r="E220" s="2170"/>
      <c r="F220" s="2170"/>
      <c r="G220" s="2170"/>
      <c r="H220" s="2170"/>
      <c r="I220" s="2170"/>
      <c r="J220" s="2170"/>
      <c r="K220" s="2171"/>
      <c r="L220" s="2172"/>
      <c r="M220" s="2170"/>
      <c r="N220" s="2170"/>
      <c r="O220" s="2170"/>
      <c r="P220" s="2170"/>
      <c r="Q220" s="2170"/>
      <c r="R220" s="2170"/>
      <c r="S220" s="2170"/>
      <c r="T220" s="2170"/>
      <c r="U220" s="2170"/>
      <c r="V220" s="2170"/>
      <c r="W220" s="2170"/>
      <c r="X220" s="2170"/>
      <c r="Y220" s="2170"/>
      <c r="Z220" s="2170"/>
      <c r="AA220" s="2170"/>
      <c r="AB220" s="2170"/>
      <c r="AC220" s="2170"/>
    </row>
    <row r="221" spans="1:29" s="1582" customFormat="1">
      <c r="A221" s="2170"/>
      <c r="B221" s="2170"/>
      <c r="C221" s="2170"/>
      <c r="D221" s="2170"/>
      <c r="E221" s="2170"/>
      <c r="F221" s="2170"/>
      <c r="G221" s="2170"/>
      <c r="H221" s="2170"/>
      <c r="I221" s="2170"/>
      <c r="J221" s="2170"/>
      <c r="K221" s="2171"/>
      <c r="L221" s="2172"/>
      <c r="M221" s="2170"/>
      <c r="N221" s="2170"/>
      <c r="O221" s="2170"/>
      <c r="P221" s="2170"/>
      <c r="Q221" s="2170"/>
      <c r="R221" s="2170"/>
      <c r="S221" s="2170"/>
      <c r="T221" s="2170"/>
      <c r="U221" s="2170"/>
      <c r="V221" s="2170"/>
      <c r="W221" s="2170"/>
      <c r="X221" s="2170"/>
      <c r="Y221" s="2170"/>
      <c r="Z221" s="2170"/>
      <c r="AA221" s="2170"/>
      <c r="AB221" s="2170"/>
      <c r="AC221" s="2170"/>
    </row>
    <row r="222" spans="1:29" s="1582" customFormat="1">
      <c r="A222" s="2170"/>
      <c r="B222" s="2170"/>
      <c r="C222" s="2170"/>
      <c r="D222" s="2170"/>
      <c r="E222" s="2170"/>
      <c r="F222" s="2170"/>
      <c r="G222" s="2170"/>
      <c r="H222" s="2170"/>
      <c r="I222" s="2170"/>
      <c r="J222" s="2170"/>
      <c r="K222" s="2171"/>
      <c r="L222" s="2172"/>
      <c r="M222" s="2170"/>
      <c r="N222" s="2170"/>
      <c r="O222" s="2170"/>
      <c r="P222" s="2170"/>
      <c r="Q222" s="2170"/>
      <c r="R222" s="2170"/>
      <c r="S222" s="2170"/>
      <c r="T222" s="2170"/>
      <c r="U222" s="2170"/>
      <c r="V222" s="2170"/>
      <c r="W222" s="2170"/>
      <c r="X222" s="2170"/>
      <c r="Y222" s="2170"/>
      <c r="Z222" s="2170"/>
      <c r="AA222" s="2170"/>
      <c r="AB222" s="2170"/>
      <c r="AC222" s="2170"/>
    </row>
    <row r="223" spans="1:29" s="1582" customFormat="1">
      <c r="A223" s="2170"/>
      <c r="B223" s="2170"/>
      <c r="C223" s="2170"/>
      <c r="D223" s="2170"/>
      <c r="E223" s="2170"/>
      <c r="F223" s="2170"/>
      <c r="G223" s="2170"/>
      <c r="H223" s="2170"/>
      <c r="I223" s="2170"/>
      <c r="J223" s="2170"/>
      <c r="K223" s="2171"/>
      <c r="L223" s="2172"/>
      <c r="M223" s="2170"/>
      <c r="N223" s="2170"/>
      <c r="O223" s="2170"/>
      <c r="P223" s="2170"/>
      <c r="Q223" s="2170"/>
      <c r="R223" s="2170"/>
      <c r="S223" s="2170"/>
      <c r="T223" s="2170"/>
      <c r="U223" s="2170"/>
      <c r="V223" s="2170"/>
      <c r="W223" s="2170"/>
      <c r="X223" s="2170"/>
      <c r="Y223" s="2170"/>
      <c r="Z223" s="2170"/>
      <c r="AA223" s="2170"/>
      <c r="AB223" s="2170"/>
      <c r="AC223" s="2170"/>
    </row>
    <row r="224" spans="1:29" s="1582" customFormat="1">
      <c r="A224" s="2170"/>
      <c r="B224" s="2170"/>
      <c r="C224" s="2170"/>
      <c r="D224" s="2170"/>
      <c r="E224" s="2170"/>
      <c r="F224" s="2170"/>
      <c r="G224" s="2170"/>
      <c r="H224" s="2170"/>
      <c r="I224" s="2170"/>
      <c r="J224" s="2170"/>
      <c r="K224" s="2171"/>
      <c r="L224" s="2172"/>
      <c r="M224" s="2170"/>
      <c r="N224" s="2170"/>
      <c r="O224" s="2170"/>
      <c r="P224" s="2170"/>
      <c r="Q224" s="2170"/>
      <c r="R224" s="2170"/>
      <c r="S224" s="2170"/>
      <c r="T224" s="2170"/>
      <c r="U224" s="2170"/>
      <c r="V224" s="2170"/>
      <c r="W224" s="2170"/>
      <c r="X224" s="2170"/>
      <c r="Y224" s="2170"/>
      <c r="Z224" s="2170"/>
      <c r="AA224" s="2170"/>
      <c r="AB224" s="2170"/>
      <c r="AC224" s="2170"/>
    </row>
    <row r="225" spans="1:29" s="1582" customFormat="1">
      <c r="A225" s="2170"/>
      <c r="B225" s="2170"/>
      <c r="C225" s="2170"/>
      <c r="D225" s="2170"/>
      <c r="E225" s="2170"/>
      <c r="F225" s="2170"/>
      <c r="G225" s="2170"/>
      <c r="H225" s="2170"/>
      <c r="I225" s="2170"/>
      <c r="J225" s="2170"/>
      <c r="K225" s="2171"/>
      <c r="L225" s="2172"/>
      <c r="M225" s="2170"/>
      <c r="N225" s="2170"/>
      <c r="O225" s="2170"/>
      <c r="P225" s="2170"/>
      <c r="Q225" s="2170"/>
      <c r="R225" s="2170"/>
      <c r="S225" s="2170"/>
      <c r="T225" s="2170"/>
      <c r="U225" s="2170"/>
      <c r="V225" s="2170"/>
      <c r="W225" s="2170"/>
      <c r="X225" s="2170"/>
      <c r="Y225" s="2170"/>
      <c r="Z225" s="2170"/>
      <c r="AA225" s="2170"/>
      <c r="AB225" s="2170"/>
      <c r="AC225" s="2170"/>
    </row>
    <row r="226" spans="1:29" s="1582" customFormat="1">
      <c r="A226" s="2170"/>
      <c r="B226" s="2170"/>
      <c r="C226" s="2170"/>
      <c r="D226" s="2170"/>
      <c r="E226" s="2170"/>
      <c r="F226" s="2170"/>
      <c r="G226" s="2170"/>
      <c r="H226" s="2170"/>
      <c r="I226" s="2170"/>
      <c r="J226" s="2170"/>
      <c r="K226" s="2171"/>
      <c r="L226" s="2172"/>
      <c r="M226" s="2170"/>
      <c r="N226" s="2170"/>
      <c r="O226" s="2170"/>
      <c r="P226" s="2170"/>
      <c r="Q226" s="2170"/>
      <c r="R226" s="2170"/>
      <c r="S226" s="2170"/>
      <c r="T226" s="2170"/>
      <c r="U226" s="2170"/>
      <c r="V226" s="2170"/>
      <c r="W226" s="2170"/>
      <c r="X226" s="2170"/>
      <c r="Y226" s="2170"/>
      <c r="Z226" s="2170"/>
      <c r="AA226" s="2170"/>
      <c r="AB226" s="2170"/>
      <c r="AC226" s="2170"/>
    </row>
    <row r="227" spans="1:29" s="1582" customFormat="1">
      <c r="A227" s="2170"/>
      <c r="B227" s="2170"/>
      <c r="C227" s="2170"/>
      <c r="D227" s="2170"/>
      <c r="E227" s="2170"/>
      <c r="F227" s="2170"/>
      <c r="G227" s="2170"/>
      <c r="H227" s="2170"/>
      <c r="I227" s="2170"/>
      <c r="J227" s="2170"/>
      <c r="K227" s="2171"/>
      <c r="L227" s="2172"/>
      <c r="M227" s="2170"/>
      <c r="N227" s="2170"/>
      <c r="O227" s="2170"/>
      <c r="P227" s="2170"/>
      <c r="Q227" s="2170"/>
      <c r="R227" s="2170"/>
      <c r="S227" s="2170"/>
      <c r="T227" s="2170"/>
      <c r="U227" s="2170"/>
      <c r="V227" s="2170"/>
      <c r="W227" s="2170"/>
      <c r="X227" s="2170"/>
      <c r="Y227" s="2170"/>
      <c r="Z227" s="2170"/>
      <c r="AA227" s="2170"/>
      <c r="AB227" s="2170"/>
      <c r="AC227" s="2170"/>
    </row>
    <row r="228" spans="1:29" s="1582" customFormat="1">
      <c r="A228" s="2170"/>
      <c r="B228" s="2170"/>
      <c r="C228" s="2170"/>
      <c r="D228" s="2170"/>
      <c r="E228" s="2170"/>
      <c r="F228" s="2170"/>
      <c r="G228" s="2170"/>
      <c r="H228" s="2170"/>
      <c r="I228" s="2170"/>
      <c r="J228" s="2170"/>
      <c r="K228" s="2171"/>
      <c r="L228" s="2172"/>
      <c r="M228" s="2170"/>
      <c r="N228" s="2170"/>
      <c r="O228" s="2170"/>
      <c r="P228" s="2170"/>
      <c r="Q228" s="2170"/>
      <c r="R228" s="2170"/>
      <c r="S228" s="2170"/>
      <c r="T228" s="2170"/>
      <c r="U228" s="2170"/>
      <c r="V228" s="2170"/>
      <c r="W228" s="2170"/>
      <c r="X228" s="2170"/>
      <c r="Y228" s="2170"/>
      <c r="Z228" s="2170"/>
      <c r="AA228" s="2170"/>
      <c r="AB228" s="2170"/>
      <c r="AC228" s="2170"/>
    </row>
    <row r="229" spans="1:29" s="1582" customFormat="1">
      <c r="A229" s="2170"/>
      <c r="B229" s="2170"/>
      <c r="C229" s="2170"/>
      <c r="D229" s="2170"/>
      <c r="E229" s="2170"/>
      <c r="F229" s="2170"/>
      <c r="G229" s="2170"/>
      <c r="H229" s="2170"/>
      <c r="I229" s="2170"/>
      <c r="J229" s="2170"/>
      <c r="K229" s="2171"/>
      <c r="L229" s="2172"/>
      <c r="M229" s="2170"/>
      <c r="N229" s="2170"/>
      <c r="O229" s="2170"/>
      <c r="P229" s="2170"/>
      <c r="Q229" s="2170"/>
      <c r="R229" s="2170"/>
      <c r="S229" s="2170"/>
      <c r="T229" s="2170"/>
      <c r="U229" s="2170"/>
      <c r="V229" s="2170"/>
      <c r="W229" s="2170"/>
      <c r="X229" s="2170"/>
      <c r="Y229" s="2170"/>
      <c r="Z229" s="2170"/>
      <c r="AA229" s="2170"/>
      <c r="AB229" s="2170"/>
      <c r="AC229" s="2170"/>
    </row>
    <row r="230" spans="1:29" s="1582" customFormat="1">
      <c r="A230" s="2170"/>
      <c r="B230" s="2170"/>
      <c r="C230" s="2170"/>
      <c r="D230" s="2170"/>
      <c r="E230" s="2170"/>
      <c r="F230" s="2170"/>
      <c r="G230" s="2170"/>
      <c r="H230" s="2170"/>
      <c r="I230" s="2170"/>
      <c r="J230" s="2170"/>
      <c r="K230" s="2171"/>
      <c r="L230" s="2172"/>
      <c r="M230" s="2170"/>
      <c r="N230" s="2170"/>
      <c r="O230" s="2170"/>
      <c r="P230" s="2170"/>
      <c r="Q230" s="2170"/>
      <c r="R230" s="2170"/>
      <c r="S230" s="2170"/>
      <c r="T230" s="2170"/>
      <c r="U230" s="2170"/>
      <c r="V230" s="2170"/>
      <c r="W230" s="2170"/>
      <c r="X230" s="2170"/>
      <c r="Y230" s="2170"/>
      <c r="Z230" s="2170"/>
      <c r="AA230" s="2170"/>
      <c r="AB230" s="2170"/>
      <c r="AC230" s="2170"/>
    </row>
    <row r="231" spans="1:29" s="1582" customFormat="1">
      <c r="A231" s="2170"/>
      <c r="B231" s="2170"/>
      <c r="C231" s="2170"/>
      <c r="D231" s="2170"/>
      <c r="E231" s="2170"/>
      <c r="F231" s="2170"/>
      <c r="G231" s="2170"/>
      <c r="H231" s="2170"/>
      <c r="I231" s="2170"/>
      <c r="J231" s="2170"/>
      <c r="K231" s="2171"/>
      <c r="L231" s="2172"/>
      <c r="M231" s="2170"/>
      <c r="N231" s="2170"/>
      <c r="O231" s="2170"/>
      <c r="P231" s="2170"/>
      <c r="Q231" s="2170"/>
      <c r="R231" s="2170"/>
      <c r="S231" s="2170"/>
      <c r="T231" s="2170"/>
      <c r="U231" s="2170"/>
      <c r="V231" s="2170"/>
      <c r="W231" s="2170"/>
      <c r="X231" s="2170"/>
      <c r="Y231" s="2170"/>
      <c r="Z231" s="2170"/>
      <c r="AA231" s="2170"/>
      <c r="AB231" s="2170"/>
      <c r="AC231" s="2170"/>
    </row>
    <row r="232" spans="1:29" s="1582" customFormat="1">
      <c r="A232" s="2170"/>
      <c r="B232" s="2170"/>
      <c r="C232" s="2170"/>
      <c r="D232" s="2170"/>
      <c r="E232" s="2170"/>
      <c r="F232" s="2170"/>
      <c r="G232" s="2170"/>
      <c r="H232" s="2170"/>
      <c r="I232" s="2170"/>
      <c r="J232" s="2170"/>
      <c r="K232" s="2171"/>
      <c r="L232" s="2172"/>
      <c r="M232" s="2170"/>
      <c r="N232" s="2170"/>
      <c r="O232" s="2170"/>
      <c r="P232" s="2170"/>
      <c r="Q232" s="2170"/>
      <c r="R232" s="2170"/>
      <c r="S232" s="2170"/>
      <c r="T232" s="2170"/>
      <c r="U232" s="2170"/>
      <c r="V232" s="2170"/>
      <c r="W232" s="2170"/>
      <c r="X232" s="2170"/>
      <c r="Y232" s="2170"/>
      <c r="Z232" s="2170"/>
      <c r="AA232" s="2170"/>
      <c r="AB232" s="2170"/>
      <c r="AC232" s="2170"/>
    </row>
    <row r="233" spans="1:29" s="1582" customFormat="1">
      <c r="A233" s="2170"/>
      <c r="B233" s="2170"/>
      <c r="C233" s="2170"/>
      <c r="D233" s="2170"/>
      <c r="E233" s="2170"/>
      <c r="F233" s="2170"/>
      <c r="G233" s="2170"/>
      <c r="H233" s="2170"/>
      <c r="I233" s="2170"/>
      <c r="J233" s="2170"/>
      <c r="K233" s="2171"/>
      <c r="L233" s="2172"/>
      <c r="M233" s="2170"/>
      <c r="N233" s="2170"/>
      <c r="O233" s="2170"/>
      <c r="P233" s="2170"/>
      <c r="Q233" s="2170"/>
      <c r="R233" s="2170"/>
      <c r="S233" s="2170"/>
      <c r="T233" s="2170"/>
      <c r="U233" s="2170"/>
      <c r="V233" s="2170"/>
      <c r="W233" s="2170"/>
      <c r="X233" s="2170"/>
      <c r="Y233" s="2170"/>
      <c r="Z233" s="2170"/>
      <c r="AA233" s="2170"/>
      <c r="AB233" s="2170"/>
      <c r="AC233" s="2170"/>
    </row>
    <row r="234" spans="1:29" s="1582" customFormat="1">
      <c r="A234" s="2170"/>
      <c r="B234" s="2170"/>
      <c r="C234" s="2170"/>
      <c r="D234" s="2170"/>
      <c r="E234" s="2170"/>
      <c r="F234" s="2170"/>
      <c r="G234" s="2170"/>
      <c r="H234" s="2170"/>
      <c r="I234" s="2170"/>
      <c r="J234" s="2170"/>
      <c r="K234" s="2171"/>
      <c r="L234" s="2172"/>
      <c r="M234" s="2170"/>
      <c r="N234" s="2170"/>
      <c r="O234" s="2170"/>
      <c r="P234" s="2170"/>
      <c r="Q234" s="2170"/>
      <c r="R234" s="2170"/>
      <c r="S234" s="2170"/>
      <c r="T234" s="2170"/>
      <c r="U234" s="2170"/>
      <c r="V234" s="2170"/>
      <c r="W234" s="2170"/>
      <c r="X234" s="2170"/>
      <c r="Y234" s="2170"/>
      <c r="Z234" s="2170"/>
      <c r="AA234" s="2170"/>
      <c r="AB234" s="2170"/>
      <c r="AC234" s="2170"/>
    </row>
    <row r="235" spans="1:29" s="1582" customFormat="1">
      <c r="A235" s="2170"/>
      <c r="B235" s="2170"/>
      <c r="C235" s="2170"/>
      <c r="D235" s="2170"/>
      <c r="E235" s="2170"/>
      <c r="F235" s="2170"/>
      <c r="G235" s="2170"/>
      <c r="H235" s="2170"/>
      <c r="I235" s="2170"/>
      <c r="J235" s="2170"/>
      <c r="K235" s="2171"/>
      <c r="L235" s="2172"/>
      <c r="M235" s="2170"/>
      <c r="N235" s="2170"/>
      <c r="O235" s="2170"/>
      <c r="P235" s="2170"/>
      <c r="Q235" s="2170"/>
      <c r="R235" s="2170"/>
      <c r="S235" s="2170"/>
      <c r="T235" s="2170"/>
      <c r="U235" s="2170"/>
      <c r="V235" s="2170"/>
      <c r="W235" s="2170"/>
      <c r="X235" s="2170"/>
      <c r="Y235" s="2170"/>
      <c r="Z235" s="2170"/>
      <c r="AA235" s="2170"/>
      <c r="AB235" s="2170"/>
      <c r="AC235" s="2170"/>
    </row>
    <row r="236" spans="1:29" s="1582" customFormat="1">
      <c r="A236" s="2170"/>
      <c r="B236" s="2170"/>
      <c r="C236" s="2170"/>
      <c r="D236" s="2170"/>
      <c r="E236" s="2170"/>
      <c r="F236" s="2170"/>
      <c r="G236" s="2170"/>
      <c r="H236" s="2170"/>
      <c r="I236" s="2170"/>
      <c r="J236" s="2170"/>
      <c r="K236" s="2171"/>
      <c r="L236" s="2172"/>
      <c r="M236" s="2170"/>
      <c r="N236" s="2170"/>
      <c r="O236" s="2170"/>
      <c r="P236" s="2170"/>
      <c r="Q236" s="2170"/>
      <c r="R236" s="2170"/>
      <c r="S236" s="2170"/>
      <c r="T236" s="2170"/>
      <c r="U236" s="2170"/>
      <c r="V236" s="2170"/>
      <c r="W236" s="2170"/>
      <c r="X236" s="2170"/>
      <c r="Y236" s="2170"/>
      <c r="Z236" s="2170"/>
      <c r="AA236" s="2170"/>
      <c r="AB236" s="2170"/>
      <c r="AC236" s="2170"/>
    </row>
    <row r="237" spans="1:29" s="1582" customFormat="1">
      <c r="A237" s="2170"/>
      <c r="B237" s="2170"/>
      <c r="C237" s="2170"/>
      <c r="D237" s="2170"/>
      <c r="E237" s="2170"/>
      <c r="F237" s="2170"/>
      <c r="G237" s="2170"/>
      <c r="H237" s="2170"/>
      <c r="I237" s="2170"/>
      <c r="J237" s="2170"/>
      <c r="K237" s="2171"/>
      <c r="L237" s="2172"/>
      <c r="M237" s="2170"/>
      <c r="N237" s="2170"/>
      <c r="O237" s="2170"/>
      <c r="P237" s="2170"/>
      <c r="Q237" s="2170"/>
      <c r="R237" s="2170"/>
      <c r="S237" s="2170"/>
      <c r="T237" s="2170"/>
      <c r="U237" s="2170"/>
      <c r="V237" s="2170"/>
      <c r="W237" s="2170"/>
      <c r="X237" s="2170"/>
      <c r="Y237" s="2170"/>
      <c r="Z237" s="2170"/>
      <c r="AA237" s="2170"/>
      <c r="AB237" s="2170"/>
      <c r="AC237" s="2170"/>
    </row>
    <row r="238" spans="1:29" s="1582" customFormat="1">
      <c r="A238" s="2170"/>
      <c r="B238" s="2170"/>
      <c r="C238" s="2170"/>
      <c r="D238" s="2170"/>
      <c r="E238" s="2170"/>
      <c r="F238" s="2170"/>
      <c r="G238" s="2170"/>
      <c r="H238" s="2170"/>
      <c r="I238" s="2170"/>
      <c r="J238" s="2170"/>
      <c r="K238" s="2171"/>
      <c r="L238" s="2172"/>
      <c r="M238" s="2170"/>
      <c r="N238" s="2170"/>
      <c r="O238" s="2170"/>
      <c r="P238" s="2170"/>
      <c r="Q238" s="2170"/>
      <c r="R238" s="2170"/>
      <c r="S238" s="2170"/>
      <c r="T238" s="2170"/>
      <c r="U238" s="2170"/>
      <c r="V238" s="2170"/>
      <c r="W238" s="2170"/>
      <c r="X238" s="2170"/>
      <c r="Y238" s="2170"/>
      <c r="Z238" s="2170"/>
      <c r="AA238" s="2170"/>
      <c r="AB238" s="2170"/>
      <c r="AC238" s="2170"/>
    </row>
    <row r="239" spans="1:29" s="1582" customFormat="1">
      <c r="A239" s="2170"/>
      <c r="B239" s="2170"/>
      <c r="C239" s="2170"/>
      <c r="D239" s="2170"/>
      <c r="E239" s="2170"/>
      <c r="F239" s="2170"/>
      <c r="G239" s="2170"/>
      <c r="H239" s="2170"/>
      <c r="I239" s="2170"/>
      <c r="J239" s="2170"/>
      <c r="K239" s="2171"/>
      <c r="L239" s="2172"/>
      <c r="M239" s="2170"/>
      <c r="N239" s="2170"/>
      <c r="O239" s="2170"/>
      <c r="P239" s="2170"/>
      <c r="Q239" s="2170"/>
      <c r="R239" s="2170"/>
      <c r="S239" s="2170"/>
      <c r="T239" s="2170"/>
      <c r="U239" s="2170"/>
      <c r="V239" s="2170"/>
      <c r="W239" s="2170"/>
      <c r="X239" s="2170"/>
      <c r="Y239" s="2170"/>
      <c r="Z239" s="2170"/>
      <c r="AA239" s="2170"/>
      <c r="AB239" s="2170"/>
      <c r="AC239" s="2170"/>
    </row>
    <row r="240" spans="1:29" s="1582" customFormat="1">
      <c r="A240" s="2170"/>
      <c r="B240" s="2170"/>
      <c r="C240" s="2170"/>
      <c r="D240" s="2170"/>
      <c r="E240" s="2170"/>
      <c r="F240" s="2170"/>
      <c r="G240" s="2170"/>
      <c r="H240" s="2170"/>
      <c r="I240" s="2170"/>
      <c r="J240" s="2170"/>
      <c r="K240" s="2171"/>
      <c r="L240" s="2172"/>
      <c r="M240" s="2170"/>
      <c r="N240" s="2170"/>
      <c r="O240" s="2170"/>
      <c r="P240" s="2170"/>
      <c r="Q240" s="2170"/>
      <c r="R240" s="2170"/>
      <c r="S240" s="2170"/>
      <c r="T240" s="2170"/>
      <c r="U240" s="2170"/>
      <c r="V240" s="2170"/>
      <c r="W240" s="2170"/>
      <c r="X240" s="2170"/>
      <c r="Y240" s="2170"/>
      <c r="Z240" s="2170"/>
      <c r="AA240" s="2170"/>
      <c r="AB240" s="2170"/>
      <c r="AC240" s="2170"/>
    </row>
    <row r="241" spans="1:29" s="1582" customFormat="1">
      <c r="A241" s="2170"/>
      <c r="B241" s="2170"/>
      <c r="C241" s="2170"/>
      <c r="D241" s="2170"/>
      <c r="E241" s="2170"/>
      <c r="F241" s="2170"/>
      <c r="G241" s="2170"/>
      <c r="H241" s="2170"/>
      <c r="I241" s="2170"/>
      <c r="J241" s="2170"/>
      <c r="K241" s="2171"/>
      <c r="L241" s="2172"/>
      <c r="M241" s="2170"/>
      <c r="N241" s="2170"/>
      <c r="O241" s="2170"/>
      <c r="P241" s="2170"/>
      <c r="Q241" s="2170"/>
      <c r="R241" s="2170"/>
      <c r="S241" s="2170"/>
      <c r="T241" s="2170"/>
      <c r="U241" s="2170"/>
      <c r="V241" s="2170"/>
      <c r="W241" s="2170"/>
      <c r="X241" s="2170"/>
      <c r="Y241" s="2170"/>
      <c r="Z241" s="2170"/>
      <c r="AA241" s="2170"/>
      <c r="AB241" s="2170"/>
      <c r="AC241" s="2170"/>
    </row>
    <row r="242" spans="1:29" s="1582" customFormat="1">
      <c r="A242" s="2170"/>
      <c r="B242" s="2170"/>
      <c r="C242" s="2170"/>
      <c r="D242" s="2170"/>
      <c r="E242" s="2170"/>
      <c r="F242" s="2170"/>
      <c r="G242" s="2170"/>
      <c r="H242" s="2170"/>
      <c r="I242" s="2170"/>
      <c r="J242" s="2170"/>
      <c r="K242" s="2171"/>
      <c r="L242" s="2172"/>
      <c r="M242" s="2170"/>
      <c r="N242" s="2170"/>
      <c r="O242" s="2170"/>
      <c r="P242" s="2170"/>
      <c r="Q242" s="2170"/>
      <c r="R242" s="2170"/>
      <c r="S242" s="2170"/>
      <c r="T242" s="2170"/>
      <c r="U242" s="2170"/>
      <c r="V242" s="2170"/>
      <c r="W242" s="2170"/>
      <c r="X242" s="2170"/>
      <c r="Y242" s="2170"/>
      <c r="Z242" s="2170"/>
      <c r="AA242" s="2170"/>
      <c r="AB242" s="2170"/>
      <c r="AC242" s="2170"/>
    </row>
    <row r="243" spans="1:29" s="1582" customFormat="1">
      <c r="A243" s="2170"/>
      <c r="B243" s="2170"/>
      <c r="C243" s="2170"/>
      <c r="D243" s="2170"/>
      <c r="E243" s="2170"/>
      <c r="F243" s="2170"/>
      <c r="G243" s="2170"/>
      <c r="H243" s="2170"/>
      <c r="I243" s="2170"/>
      <c r="J243" s="2170"/>
      <c r="K243" s="2171"/>
      <c r="L243" s="2172"/>
      <c r="M243" s="2170"/>
      <c r="N243" s="2170"/>
      <c r="O243" s="2170"/>
      <c r="P243" s="2170"/>
      <c r="Q243" s="2170"/>
      <c r="R243" s="2170"/>
      <c r="S243" s="2170"/>
      <c r="T243" s="2170"/>
      <c r="U243" s="2170"/>
      <c r="V243" s="2170"/>
      <c r="W243" s="2170"/>
      <c r="X243" s="2170"/>
      <c r="Y243" s="2170"/>
      <c r="Z243" s="2170"/>
      <c r="AA243" s="2170"/>
      <c r="AB243" s="2170"/>
      <c r="AC243" s="2170"/>
    </row>
    <row r="244" spans="1:29" s="1582" customFormat="1">
      <c r="A244" s="2170"/>
      <c r="B244" s="2170"/>
      <c r="C244" s="2170"/>
      <c r="D244" s="2170"/>
      <c r="E244" s="2170"/>
      <c r="F244" s="2170"/>
      <c r="G244" s="2170"/>
      <c r="H244" s="2170"/>
      <c r="I244" s="2170"/>
      <c r="J244" s="2170"/>
      <c r="K244" s="2171"/>
      <c r="L244" s="2172"/>
      <c r="M244" s="2170"/>
      <c r="N244" s="2170"/>
      <c r="O244" s="2170"/>
      <c r="P244" s="2170"/>
      <c r="Q244" s="2170"/>
      <c r="R244" s="2170"/>
      <c r="S244" s="2170"/>
      <c r="T244" s="2170"/>
      <c r="U244" s="2170"/>
      <c r="V244" s="2170"/>
      <c r="W244" s="2170"/>
      <c r="X244" s="2170"/>
      <c r="Y244" s="2170"/>
      <c r="Z244" s="2170"/>
      <c r="AA244" s="2170"/>
      <c r="AB244" s="2170"/>
      <c r="AC244" s="2170"/>
    </row>
    <row r="245" spans="1:29" s="1582" customFormat="1">
      <c r="A245" s="2170"/>
      <c r="B245" s="2170"/>
      <c r="C245" s="2170"/>
      <c r="D245" s="2170"/>
      <c r="E245" s="2170"/>
      <c r="F245" s="2170"/>
      <c r="G245" s="2170"/>
      <c r="H245" s="2170"/>
      <c r="I245" s="2170"/>
      <c r="J245" s="2170"/>
      <c r="K245" s="2171"/>
      <c r="L245" s="2172"/>
      <c r="M245" s="2170"/>
      <c r="N245" s="2170"/>
      <c r="O245" s="2170"/>
      <c r="P245" s="2170"/>
      <c r="Q245" s="2170"/>
      <c r="R245" s="2170"/>
      <c r="S245" s="2170"/>
      <c r="T245" s="2170"/>
      <c r="U245" s="2170"/>
      <c r="V245" s="2170"/>
      <c r="W245" s="2170"/>
      <c r="X245" s="2170"/>
      <c r="Y245" s="2170"/>
      <c r="Z245" s="2170"/>
      <c r="AA245" s="2170"/>
      <c r="AB245" s="2170"/>
      <c r="AC245" s="2170"/>
    </row>
    <row r="246" spans="1:29" s="1582" customFormat="1">
      <c r="A246" s="2170"/>
      <c r="B246" s="2170"/>
      <c r="C246" s="2170"/>
      <c r="D246" s="2170"/>
      <c r="E246" s="2170"/>
      <c r="F246" s="2170"/>
      <c r="G246" s="2170"/>
      <c r="H246" s="2170"/>
      <c r="I246" s="2170"/>
      <c r="J246" s="2170"/>
      <c r="K246" s="2171"/>
      <c r="L246" s="2172"/>
      <c r="M246" s="2170"/>
      <c r="N246" s="2170"/>
      <c r="O246" s="2170"/>
      <c r="P246" s="2170"/>
      <c r="Q246" s="2170"/>
      <c r="R246" s="2170"/>
      <c r="S246" s="2170"/>
      <c r="T246" s="2170"/>
      <c r="U246" s="2170"/>
      <c r="V246" s="2170"/>
      <c r="W246" s="2170"/>
      <c r="X246" s="2170"/>
      <c r="Y246" s="2170"/>
      <c r="Z246" s="2170"/>
      <c r="AA246" s="2170"/>
      <c r="AB246" s="2170"/>
      <c r="AC246" s="2170"/>
    </row>
    <row r="247" spans="1:29" s="1582" customFormat="1">
      <c r="A247" s="2170"/>
      <c r="B247" s="2170"/>
      <c r="C247" s="2170"/>
      <c r="D247" s="2170"/>
      <c r="E247" s="2170"/>
      <c r="F247" s="2170"/>
      <c r="G247" s="2170"/>
      <c r="H247" s="2170"/>
      <c r="I247" s="2170"/>
      <c r="J247" s="2170"/>
      <c r="K247" s="2171"/>
      <c r="L247" s="2172"/>
      <c r="M247" s="2170"/>
      <c r="N247" s="2170"/>
      <c r="O247" s="2170"/>
      <c r="P247" s="2170"/>
      <c r="Q247" s="2170"/>
      <c r="R247" s="2170"/>
      <c r="S247" s="2170"/>
      <c r="T247" s="2170"/>
      <c r="U247" s="2170"/>
      <c r="V247" s="2170"/>
      <c r="W247" s="2170"/>
      <c r="X247" s="2170"/>
      <c r="Y247" s="2170"/>
      <c r="Z247" s="2170"/>
      <c r="AA247" s="2170"/>
      <c r="AB247" s="2170"/>
      <c r="AC247" s="2170"/>
    </row>
    <row r="248" spans="1:29" s="1582" customFormat="1">
      <c r="A248" s="2170"/>
      <c r="B248" s="2170"/>
      <c r="C248" s="2170"/>
      <c r="D248" s="2170"/>
      <c r="E248" s="2170"/>
      <c r="F248" s="2170"/>
      <c r="G248" s="2170"/>
      <c r="H248" s="2170"/>
      <c r="I248" s="2170"/>
      <c r="J248" s="2170"/>
      <c r="K248" s="2171"/>
      <c r="L248" s="2172"/>
      <c r="M248" s="2170"/>
      <c r="N248" s="2170"/>
      <c r="O248" s="2170"/>
      <c r="P248" s="2170"/>
      <c r="Q248" s="2170"/>
      <c r="R248" s="2170"/>
      <c r="S248" s="2170"/>
      <c r="T248" s="2170"/>
      <c r="U248" s="2170"/>
      <c r="V248" s="2170"/>
      <c r="W248" s="2170"/>
      <c r="X248" s="2170"/>
      <c r="Y248" s="2170"/>
      <c r="Z248" s="2170"/>
      <c r="AA248" s="2170"/>
      <c r="AB248" s="2170"/>
      <c r="AC248" s="2170"/>
    </row>
    <row r="249" spans="1:29" s="1582" customFormat="1">
      <c r="A249" s="2170"/>
      <c r="B249" s="2170"/>
      <c r="C249" s="2170"/>
      <c r="D249" s="2170"/>
      <c r="E249" s="2170"/>
      <c r="F249" s="2170"/>
      <c r="G249" s="2170"/>
      <c r="H249" s="2170"/>
      <c r="I249" s="2170"/>
      <c r="J249" s="2170"/>
      <c r="K249" s="2171"/>
      <c r="L249" s="2172"/>
      <c r="M249" s="2170"/>
      <c r="N249" s="2170"/>
      <c r="O249" s="2170"/>
      <c r="P249" s="2170"/>
      <c r="Q249" s="2170"/>
      <c r="R249" s="2170"/>
      <c r="S249" s="2170"/>
      <c r="T249" s="2170"/>
      <c r="U249" s="2170"/>
      <c r="V249" s="2170"/>
      <c r="W249" s="2170"/>
      <c r="X249" s="2170"/>
      <c r="Y249" s="2170"/>
      <c r="Z249" s="2170"/>
      <c r="AA249" s="2170"/>
      <c r="AB249" s="2170"/>
      <c r="AC249" s="2170"/>
    </row>
    <row r="250" spans="1:29" s="1582" customFormat="1">
      <c r="A250" s="2170"/>
      <c r="B250" s="2170"/>
      <c r="C250" s="2170"/>
      <c r="D250" s="2170"/>
      <c r="E250" s="2170"/>
      <c r="F250" s="2170"/>
      <c r="G250" s="2170"/>
      <c r="H250" s="2170"/>
      <c r="I250" s="2170"/>
      <c r="J250" s="2170"/>
      <c r="K250" s="2171"/>
      <c r="L250" s="2172"/>
      <c r="M250" s="2170"/>
      <c r="N250" s="2170"/>
      <c r="O250" s="2170"/>
      <c r="P250" s="2170"/>
      <c r="Q250" s="2170"/>
      <c r="R250" s="2170"/>
      <c r="S250" s="2170"/>
      <c r="T250" s="2170"/>
      <c r="U250" s="2170"/>
      <c r="V250" s="2170"/>
      <c r="W250" s="2170"/>
      <c r="X250" s="2170"/>
      <c r="Y250" s="2170"/>
      <c r="Z250" s="2170"/>
      <c r="AA250" s="2170"/>
      <c r="AB250" s="2170"/>
      <c r="AC250" s="2170"/>
    </row>
    <row r="251" spans="1:29" s="1582" customFormat="1">
      <c r="A251" s="2170"/>
      <c r="B251" s="2170"/>
      <c r="C251" s="2170"/>
      <c r="D251" s="2170"/>
      <c r="E251" s="2170"/>
      <c r="F251" s="2170"/>
      <c r="G251" s="2170"/>
      <c r="H251" s="2170"/>
      <c r="I251" s="2170"/>
      <c r="J251" s="2170"/>
      <c r="K251" s="2171"/>
      <c r="L251" s="2172"/>
      <c r="M251" s="2170"/>
      <c r="N251" s="2170"/>
      <c r="O251" s="2170"/>
      <c r="P251" s="2170"/>
      <c r="Q251" s="2170"/>
      <c r="R251" s="2170"/>
      <c r="S251" s="2170"/>
      <c r="T251" s="2170"/>
      <c r="U251" s="2170"/>
      <c r="V251" s="2170"/>
      <c r="W251" s="2170"/>
      <c r="X251" s="2170"/>
      <c r="Y251" s="2170"/>
      <c r="Z251" s="2170"/>
      <c r="AA251" s="2170"/>
      <c r="AB251" s="2170"/>
      <c r="AC251" s="2170"/>
    </row>
    <row r="252" spans="1:29" s="1582" customFormat="1">
      <c r="A252" s="2170"/>
      <c r="B252" s="2170"/>
      <c r="C252" s="2170"/>
      <c r="D252" s="2170"/>
      <c r="E252" s="2170"/>
      <c r="F252" s="2170"/>
      <c r="G252" s="2170"/>
      <c r="H252" s="2170"/>
      <c r="I252" s="2170"/>
      <c r="J252" s="2170"/>
      <c r="K252" s="2171"/>
      <c r="L252" s="2172"/>
      <c r="M252" s="2170"/>
      <c r="N252" s="2170"/>
      <c r="O252" s="2170"/>
      <c r="P252" s="2170"/>
      <c r="Q252" s="2170"/>
      <c r="R252" s="2170"/>
      <c r="S252" s="2170"/>
      <c r="T252" s="2170"/>
      <c r="U252" s="2170"/>
      <c r="V252" s="2170"/>
      <c r="W252" s="2170"/>
      <c r="X252" s="2170"/>
      <c r="Y252" s="2170"/>
      <c r="Z252" s="2170"/>
      <c r="AA252" s="2170"/>
      <c r="AB252" s="2170"/>
      <c r="AC252" s="2170"/>
    </row>
    <row r="253" spans="1:29" s="1582" customFormat="1">
      <c r="A253" s="2170"/>
      <c r="B253" s="2170"/>
      <c r="C253" s="2170"/>
      <c r="D253" s="2170"/>
      <c r="E253" s="2170"/>
      <c r="F253" s="2170"/>
      <c r="G253" s="2170"/>
      <c r="H253" s="2170"/>
      <c r="I253" s="2170"/>
      <c r="J253" s="2170"/>
      <c r="K253" s="2171"/>
      <c r="L253" s="2172"/>
      <c r="M253" s="2170"/>
      <c r="N253" s="2170"/>
      <c r="O253" s="2170"/>
      <c r="P253" s="2170"/>
      <c r="Q253" s="2170"/>
      <c r="R253" s="2170"/>
      <c r="S253" s="2170"/>
      <c r="T253" s="2170"/>
      <c r="U253" s="2170"/>
      <c r="V253" s="2170"/>
      <c r="W253" s="2170"/>
      <c r="X253" s="2170"/>
      <c r="Y253" s="2170"/>
      <c r="Z253" s="2170"/>
      <c r="AA253" s="2170"/>
      <c r="AB253" s="2170"/>
      <c r="AC253" s="2170"/>
    </row>
    <row r="254" spans="1:29" s="1582" customFormat="1">
      <c r="A254" s="2170"/>
      <c r="B254" s="2170"/>
      <c r="C254" s="2170"/>
      <c r="D254" s="2170"/>
      <c r="E254" s="2170"/>
      <c r="F254" s="2170"/>
      <c r="G254" s="2170"/>
      <c r="H254" s="2170"/>
      <c r="I254" s="2170"/>
      <c r="J254" s="2170"/>
      <c r="K254" s="2171"/>
      <c r="L254" s="2172"/>
      <c r="M254" s="2170"/>
      <c r="N254" s="2170"/>
      <c r="O254" s="2170"/>
      <c r="P254" s="2170"/>
      <c r="Q254" s="2170"/>
      <c r="R254" s="2170"/>
      <c r="S254" s="2170"/>
      <c r="T254" s="2170"/>
      <c r="U254" s="2170"/>
      <c r="V254" s="2170"/>
      <c r="W254" s="2170"/>
      <c r="X254" s="2170"/>
      <c r="Y254" s="2170"/>
      <c r="Z254" s="2170"/>
      <c r="AA254" s="2170"/>
      <c r="AB254" s="2170"/>
      <c r="AC254" s="2170"/>
    </row>
    <row r="255" spans="1:29" s="1582" customFormat="1">
      <c r="A255" s="2170"/>
      <c r="B255" s="2170"/>
      <c r="C255" s="2170"/>
      <c r="D255" s="2170"/>
      <c r="E255" s="2170"/>
      <c r="F255" s="2170"/>
      <c r="G255" s="2170"/>
      <c r="H255" s="2170"/>
      <c r="I255" s="2170"/>
      <c r="J255" s="2170"/>
      <c r="K255" s="2171"/>
      <c r="L255" s="2172"/>
      <c r="M255" s="2170"/>
      <c r="N255" s="2170"/>
      <c r="O255" s="2170"/>
      <c r="P255" s="2170"/>
      <c r="Q255" s="2170"/>
      <c r="R255" s="2170"/>
      <c r="S255" s="2170"/>
      <c r="T255" s="2170"/>
      <c r="U255" s="2170"/>
      <c r="V255" s="2170"/>
      <c r="W255" s="2170"/>
      <c r="X255" s="2170"/>
      <c r="Y255" s="2170"/>
      <c r="Z255" s="2170"/>
      <c r="AA255" s="2170"/>
      <c r="AB255" s="2170"/>
      <c r="AC255" s="2170"/>
    </row>
    <row r="256" spans="1:29" s="1582" customFormat="1">
      <c r="K256" s="1583"/>
      <c r="L256" s="1584"/>
    </row>
    <row r="257" spans="11:12" s="1582" customFormat="1">
      <c r="K257" s="1583"/>
      <c r="L257" s="1584"/>
    </row>
    <row r="258" spans="11:12" s="1582" customFormat="1">
      <c r="K258" s="1583"/>
      <c r="L258" s="1584"/>
    </row>
    <row r="259" spans="11:12" s="1582" customFormat="1">
      <c r="K259" s="1583"/>
      <c r="L259" s="1584"/>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77" priority="14" stopIfTrue="1" operator="containsText" text="超过">
      <formula>NOT(ISERROR(SEARCH("超过",F53)))</formula>
    </cfRule>
  </conditionalFormatting>
  <conditionalFormatting sqref="J55">
    <cfRule type="containsText" dxfId="176" priority="13" stopIfTrue="1" operator="containsText" text="超过">
      <formula>NOT(ISERROR(SEARCH("超过",J55)))</formula>
    </cfRule>
  </conditionalFormatting>
  <conditionalFormatting sqref="H55">
    <cfRule type="containsText" dxfId="175" priority="12" stopIfTrue="1" operator="containsText" text="超过">
      <formula>NOT(ISERROR(SEARCH("超过",H55)))</formula>
    </cfRule>
  </conditionalFormatting>
  <conditionalFormatting sqref="F55">
    <cfRule type="containsText" dxfId="174" priority="11" stopIfTrue="1" operator="containsText" text="超过">
      <formula>NOT(ISERROR(SEARCH("超过",F55)))</formula>
    </cfRule>
  </conditionalFormatting>
  <conditionalFormatting sqref="F54 H54 J54">
    <cfRule type="containsText" dxfId="173" priority="10" stopIfTrue="1" operator="containsText" text="超过">
      <formula>NOT(ISERROR(SEARCH("超过",F54)))</formula>
    </cfRule>
  </conditionalFormatting>
  <conditionalFormatting sqref="E53">
    <cfRule type="expression" dxfId="172" priority="9" stopIfTrue="1">
      <formula>$F$53="超过30%"</formula>
    </cfRule>
  </conditionalFormatting>
  <conditionalFormatting sqref="G55">
    <cfRule type="expression" dxfId="171" priority="8" stopIfTrue="1">
      <formula>$H$55="超过30%"</formula>
    </cfRule>
  </conditionalFormatting>
  <conditionalFormatting sqref="E54">
    <cfRule type="expression" dxfId="170" priority="7" stopIfTrue="1">
      <formula>$F$54="超过20%"</formula>
    </cfRule>
  </conditionalFormatting>
  <conditionalFormatting sqref="E55">
    <cfRule type="expression" dxfId="169" priority="6" stopIfTrue="1">
      <formula>$F$55="超过30%"</formula>
    </cfRule>
  </conditionalFormatting>
  <conditionalFormatting sqref="G53">
    <cfRule type="expression" dxfId="168" priority="5" stopIfTrue="1">
      <formula>$H$55+$H$53="超过30%"</formula>
    </cfRule>
  </conditionalFormatting>
  <conditionalFormatting sqref="G54">
    <cfRule type="expression" dxfId="167" priority="4" stopIfTrue="1">
      <formula>$H$54="超过20%"</formula>
    </cfRule>
  </conditionalFormatting>
  <conditionalFormatting sqref="I53">
    <cfRule type="expression" dxfId="166" priority="3" stopIfTrue="1">
      <formula>$J$53="超过30%"</formula>
    </cfRule>
  </conditionalFormatting>
  <conditionalFormatting sqref="I54">
    <cfRule type="expression" dxfId="165" priority="2" stopIfTrue="1">
      <formula>$J$54="超过20%"</formula>
    </cfRule>
  </conditionalFormatting>
  <conditionalFormatting sqref="I55">
    <cfRule type="expression" dxfId="164"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3"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zoomScale="80" zoomScaleNormal="100" zoomScaleSheetLayoutView="100" zoomScalePageLayoutView="80" workbookViewId="0">
      <selection activeCell="A76" sqref="A76:B76"/>
    </sheetView>
  </sheetViews>
  <sheetFormatPr defaultRowHeight="13.5"/>
  <cols>
    <col min="1" max="1" width="3.5" style="1650" customWidth="1"/>
    <col min="2" max="2" width="10.75" style="1650" customWidth="1"/>
    <col min="3" max="4" width="11.625" style="1650" customWidth="1"/>
    <col min="5" max="5" width="6.625" style="1650" customWidth="1"/>
    <col min="6" max="16384" width="9" style="1650"/>
  </cols>
  <sheetData>
    <row r="36" spans="1:9">
      <c r="A36" s="1649" t="s">
        <v>1895</v>
      </c>
      <c r="B36" s="1649" t="s">
        <v>1896</v>
      </c>
    </row>
    <row r="37" spans="1:9" ht="28.5" customHeight="1">
      <c r="A37" s="1649"/>
      <c r="B37" s="3250" t="str">
        <f>项目基本情况!B1</f>
        <v>天津市河东区六纬路西侧金茂天津河东一热电项目出让国有建设用地使用权抵押价格预评估</v>
      </c>
      <c r="C37" s="3250"/>
      <c r="D37" s="3250"/>
      <c r="E37" s="3250"/>
      <c r="F37" s="3250"/>
      <c r="G37" s="3250"/>
      <c r="H37" s="3250"/>
      <c r="I37" s="3250"/>
    </row>
    <row r="38" spans="1:9">
      <c r="A38" s="1651"/>
      <c r="B38" s="1651"/>
    </row>
    <row r="39" spans="1:9">
      <c r="A39" s="1649" t="s">
        <v>1895</v>
      </c>
      <c r="B39" s="1649" t="s">
        <v>2041</v>
      </c>
    </row>
    <row r="40" spans="1:9">
      <c r="A40" s="1649"/>
      <c r="B40" s="1649">
        <f>项目基本情况!B5</f>
        <v>0</v>
      </c>
    </row>
    <row r="41" spans="1:9">
      <c r="A41" s="1649"/>
      <c r="B41" s="1649"/>
    </row>
    <row r="42" spans="1:9">
      <c r="A42" s="1649" t="s">
        <v>1895</v>
      </c>
      <c r="B42" s="1649" t="s">
        <v>2042</v>
      </c>
    </row>
    <row r="43" spans="1:9">
      <c r="A43" s="1649"/>
      <c r="B43" s="1649" t="s">
        <v>1897</v>
      </c>
    </row>
    <row r="44" spans="1:9">
      <c r="A44" s="1649"/>
      <c r="B44" s="1649"/>
    </row>
    <row r="45" spans="1:9">
      <c r="A45" s="1649" t="s">
        <v>1895</v>
      </c>
      <c r="B45" s="1649" t="s">
        <v>2040</v>
      </c>
    </row>
    <row r="46" spans="1:9" s="1649" customFormat="1" ht="12.75">
      <c r="B46" s="1649" t="str">
        <f>项目基本情况!K4</f>
        <v>欧红伟、梁津</v>
      </c>
    </row>
    <row r="47" spans="1:9">
      <c r="A47" s="1649"/>
      <c r="B47" s="1649"/>
    </row>
    <row r="48" spans="1:9">
      <c r="A48" s="1649" t="s">
        <v>1895</v>
      </c>
      <c r="B48" s="1649" t="s">
        <v>2043</v>
      </c>
    </row>
    <row r="49" spans="2:2">
      <c r="B49" s="164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M26" sqref="M26"/>
    </sheetView>
  </sheetViews>
  <sheetFormatPr defaultColWidth="6.625" defaultRowHeight="12.75"/>
  <cols>
    <col min="1" max="1" width="9.75" style="2119" customWidth="1"/>
    <col min="2" max="2" width="25.75" style="2109" customWidth="1"/>
    <col min="3" max="3" width="10.375" style="2120" customWidth="1"/>
    <col min="4" max="4" width="12" style="2109" customWidth="1"/>
    <col min="5" max="5" width="9.5" style="2119" customWidth="1"/>
    <col min="6" max="6" width="10.125" style="2109" customWidth="1"/>
    <col min="7" max="7" width="11.625" style="2109" customWidth="1"/>
    <col min="8" max="8" width="10" style="2109" customWidth="1"/>
    <col min="9" max="11" width="9.5" style="2109" customWidth="1"/>
    <col min="12" max="12" width="9" style="2109" customWidth="1"/>
    <col min="13" max="13" width="10.5" style="2109" bestFit="1" customWidth="1"/>
    <col min="14" max="254" width="9" style="2109" customWidth="1"/>
    <col min="255" max="16384" width="6.625" style="2109"/>
  </cols>
  <sheetData>
    <row r="1" spans="1:31" s="2036" customFormat="1" ht="20.25">
      <c r="A1" s="2098" t="s">
        <v>459</v>
      </c>
      <c r="B1" s="2830"/>
      <c r="C1" s="2099"/>
      <c r="D1" s="2099"/>
      <c r="E1" s="2099"/>
      <c r="F1" s="2099"/>
      <c r="G1" s="2099"/>
      <c r="H1" s="2099"/>
      <c r="I1" s="2099"/>
      <c r="J1" s="2099"/>
      <c r="K1" s="420">
        <f>MATCH(B1,'数据-取费表'!A6:A16,0)+5</f>
        <v>11</v>
      </c>
    </row>
    <row r="2" spans="1:31" s="2036" customFormat="1" ht="18" customHeight="1">
      <c r="A2" s="2096" t="s">
        <v>460</v>
      </c>
      <c r="B2" s="2100">
        <f ca="1">C36</f>
        <v>585017</v>
      </c>
      <c r="C2" s="2099"/>
      <c r="D2" s="2099"/>
      <c r="E2" s="2099"/>
      <c r="F2" s="2099"/>
      <c r="G2" s="2099"/>
      <c r="H2" s="2099"/>
      <c r="I2" s="2099"/>
      <c r="J2" s="2099"/>
      <c r="K2" s="2099"/>
    </row>
    <row r="3" spans="1:31" s="2036" customFormat="1" ht="18" customHeight="1">
      <c r="A3" s="2101" t="s">
        <v>1678</v>
      </c>
      <c r="B3" s="2102">
        <f ca="1">ROUND(B2*10000/IF(B1="",'数据-汇总表'!E3,INDIRECT("'数据-取费表'!K"&amp;$K$1)),0)</f>
        <v>14173</v>
      </c>
      <c r="C3" s="2099"/>
      <c r="D3" s="2099"/>
      <c r="E3" s="2099"/>
      <c r="F3" s="2099"/>
      <c r="G3" s="2099"/>
      <c r="H3" s="2099"/>
      <c r="I3" s="2099"/>
      <c r="J3" s="2099"/>
      <c r="K3" s="2099"/>
    </row>
    <row r="4" spans="1:31" s="2036" customFormat="1" ht="18" customHeight="1">
      <c r="A4" s="424" t="s">
        <v>461</v>
      </c>
      <c r="B4" s="425">
        <f ca="1">ROUND(B2*10000/IF(B1="",'数据-汇总表'!D3,INDIRECT("'数据-取费表'!R"&amp;$K$1)),0)</f>
        <v>48223</v>
      </c>
      <c r="C4" s="426"/>
      <c r="D4" s="420"/>
      <c r="E4" s="420"/>
      <c r="F4" s="420"/>
      <c r="G4" s="420"/>
      <c r="H4" s="420"/>
      <c r="I4" s="420"/>
      <c r="J4" s="420"/>
      <c r="K4" s="420"/>
    </row>
    <row r="5" spans="1:31" s="2036" customFormat="1" ht="18" customHeight="1" thickBot="1">
      <c r="A5" s="427"/>
      <c r="B5" s="428">
        <f ca="1">ROUND(B2/(IF(B1="",'数据-汇总表'!D3,INDIRECT("'数据-取费表'!R"&amp;$K$1))/666.67),0)</f>
        <v>3215</v>
      </c>
      <c r="C5" s="429" t="s">
        <v>462</v>
      </c>
      <c r="D5" s="420"/>
      <c r="E5" s="420"/>
      <c r="F5" s="420"/>
      <c r="G5" s="420"/>
      <c r="H5" s="420"/>
      <c r="I5" s="420"/>
      <c r="J5" s="420"/>
      <c r="K5" s="420"/>
    </row>
    <row r="6" spans="1:31" s="2106" customFormat="1" ht="16.5" customHeight="1">
      <c r="A6" s="2849" t="s">
        <v>1836</v>
      </c>
      <c r="B6" s="2850"/>
      <c r="C6" s="2851">
        <f ca="1">SUM(C10:K10)</f>
        <v>1053626</v>
      </c>
      <c r="D6" s="2850"/>
      <c r="E6" s="2850"/>
      <c r="F6" s="2850"/>
      <c r="G6" s="2850"/>
      <c r="H6" s="2850"/>
      <c r="I6" s="2850"/>
      <c r="J6" s="2850"/>
      <c r="K6" s="2852"/>
    </row>
    <row r="7" spans="1:31" s="2108" customFormat="1" ht="15">
      <c r="A7" s="2853" t="s">
        <v>463</v>
      </c>
      <c r="B7" s="2854" t="s">
        <v>464</v>
      </c>
      <c r="C7" s="434" t="s">
        <v>3097</v>
      </c>
      <c r="D7" s="434" t="s">
        <v>3099</v>
      </c>
      <c r="E7" s="434" t="s">
        <v>3000</v>
      </c>
      <c r="F7" s="434" t="s">
        <v>3193</v>
      </c>
      <c r="G7" s="434" t="s">
        <v>3194</v>
      </c>
      <c r="H7" s="434"/>
      <c r="I7" s="434" t="s">
        <v>3119</v>
      </c>
      <c r="J7" s="434"/>
      <c r="K7" s="435"/>
      <c r="L7" s="2107"/>
      <c r="M7" s="2107"/>
      <c r="N7" s="2107"/>
      <c r="O7" s="2107"/>
      <c r="P7" s="2107"/>
      <c r="Q7" s="2107"/>
      <c r="R7" s="2107"/>
      <c r="S7" s="2107"/>
      <c r="T7" s="2107"/>
      <c r="U7" s="2107"/>
      <c r="V7" s="2107"/>
      <c r="W7" s="2107"/>
      <c r="X7" s="2107"/>
      <c r="Y7" s="2107"/>
      <c r="Z7" s="2107"/>
      <c r="AA7" s="2107"/>
      <c r="AB7" s="2107"/>
      <c r="AC7" s="2107"/>
      <c r="AD7" s="2107"/>
      <c r="AE7" s="2107"/>
    </row>
    <row r="8" spans="1:31" s="2110" customFormat="1" ht="13.5" customHeight="1">
      <c r="A8" s="799" t="s">
        <v>1839</v>
      </c>
      <c r="B8" s="256" t="s">
        <v>465</v>
      </c>
      <c r="C8" s="2855">
        <f>'不动产比较法-高层'!B3</f>
        <v>45062</v>
      </c>
      <c r="D8" s="2855">
        <f>'不动产比较法-洋房'!B3</f>
        <v>50595</v>
      </c>
      <c r="E8" s="2855"/>
      <c r="F8" s="2855"/>
      <c r="G8" s="2855"/>
      <c r="H8" s="2855"/>
      <c r="I8" s="2855"/>
      <c r="J8" s="2855"/>
      <c r="K8" s="2856"/>
      <c r="L8" s="2109"/>
      <c r="M8" s="2109"/>
      <c r="N8" s="2109"/>
      <c r="O8" s="2109"/>
      <c r="P8" s="2109"/>
      <c r="Q8" s="2109"/>
      <c r="R8" s="2109"/>
      <c r="S8" s="2109"/>
      <c r="T8" s="2109"/>
      <c r="U8" s="2109"/>
      <c r="V8" s="2109"/>
      <c r="W8" s="2109"/>
      <c r="X8" s="2109"/>
      <c r="Y8" s="2109"/>
      <c r="Z8" s="2109"/>
      <c r="AA8" s="2109"/>
      <c r="AB8" s="2109"/>
      <c r="AC8" s="2109"/>
      <c r="AD8" s="2109"/>
      <c r="AE8" s="2109"/>
    </row>
    <row r="9" spans="1:31" s="2110" customFormat="1" ht="13.5" customHeight="1">
      <c r="A9" s="799" t="s">
        <v>1840</v>
      </c>
      <c r="B9" s="256" t="s">
        <v>466</v>
      </c>
      <c r="C9" s="439">
        <f>SUMIF('数据-汇总表'!$C19:$C33,'剩余法-待开发'!C7,'数据-汇总表'!$E19:$E33)</f>
        <v>118355.56</v>
      </c>
      <c r="D9" s="439">
        <f>SUMIF('数据-汇总表'!$C19:$C33,'剩余法-待开发'!D7,'数据-汇总表'!$E19:$E33)</f>
        <v>40798.44</v>
      </c>
      <c r="E9" s="439">
        <f>SUMIF('数据-汇总表'!$C19:$C33,'剩余法-待开发'!E7,'数据-汇总表'!$E19:$E33)</f>
        <v>7800</v>
      </c>
      <c r="F9" s="439">
        <f>SUMIF('数据-汇总表'!$C19:$C33,'剩余法-待开发'!F7,'数据-汇总表'!$E19:$E33)</f>
        <v>44170</v>
      </c>
      <c r="G9" s="439">
        <f>SUMIF('数据-汇总表'!$C19:$C33,'剩余法-待开发'!G7,'数据-汇总表'!$E19:$E33)</f>
        <v>64080</v>
      </c>
      <c r="H9" s="439">
        <f>SUMIF('数据-汇总表'!$C19:$C33,'剩余法-待开发'!H7,'数据-汇总表'!$E19:$E33)</f>
        <v>0</v>
      </c>
      <c r="I9" s="439">
        <f>SUMIF('数据-汇总表'!$C19:$C33,'剩余法-待开发'!I7,'数据-汇总表'!$E19:$E33)</f>
        <v>90459.22</v>
      </c>
      <c r="J9" s="439">
        <f>SUMIF('数据-汇总表'!$C19:$C33,'剩余法-待开发'!J7,'数据-汇总表'!$E19:$E33)</f>
        <v>0</v>
      </c>
      <c r="K9" s="440">
        <f>SUMIF('数据-汇总表'!$C19:$C33,'剩余法-待开发'!K7,'数据-汇总表'!$E19:$E33)</f>
        <v>0</v>
      </c>
      <c r="L9" s="2109"/>
      <c r="M9" s="2109"/>
      <c r="N9" s="2109"/>
      <c r="O9" s="2109"/>
      <c r="P9" s="2109"/>
      <c r="Q9" s="2109"/>
      <c r="R9" s="2109"/>
      <c r="S9" s="2109"/>
      <c r="T9" s="2109"/>
      <c r="U9" s="2109"/>
      <c r="V9" s="2109"/>
      <c r="W9" s="2109"/>
      <c r="X9" s="2109"/>
      <c r="Y9" s="2109"/>
      <c r="Z9" s="2109"/>
      <c r="AA9" s="2109"/>
      <c r="AB9" s="2109"/>
      <c r="AC9" s="2109"/>
      <c r="AD9" s="2109"/>
      <c r="AE9" s="2109"/>
    </row>
    <row r="10" spans="1:31" s="2110" customFormat="1" ht="13.5" customHeight="1" thickBot="1">
      <c r="A10" s="2857" t="s">
        <v>1841</v>
      </c>
      <c r="B10" s="2843" t="s">
        <v>467</v>
      </c>
      <c r="C10" s="3048">
        <f>ROUND(C8*C9/10000,0)</f>
        <v>533334</v>
      </c>
      <c r="D10" s="3048">
        <f>ROUND(D8*D9/10000,0)</f>
        <v>206420</v>
      </c>
      <c r="E10" s="3048">
        <f ca="1">不动产收益法底商!B2</f>
        <v>25559</v>
      </c>
      <c r="F10" s="3048">
        <f ca="1">不动产收益法独商!B2</f>
        <v>116693</v>
      </c>
      <c r="G10" s="2858">
        <f ca="1">不动产收益法办公!B2</f>
        <v>121741</v>
      </c>
      <c r="H10" s="2858">
        <v>0</v>
      </c>
      <c r="I10" s="2858">
        <f ca="1">不动产收益法车!B2</f>
        <v>49879</v>
      </c>
      <c r="J10" s="2858"/>
      <c r="K10" s="2859"/>
      <c r="L10" s="2109"/>
      <c r="M10" s="2109"/>
      <c r="N10" s="2109"/>
      <c r="O10" s="2109"/>
      <c r="P10" s="2109"/>
      <c r="Q10" s="2109"/>
      <c r="R10" s="2109"/>
      <c r="S10" s="2109"/>
      <c r="T10" s="2109"/>
      <c r="U10" s="2109"/>
      <c r="V10" s="2109"/>
      <c r="W10" s="2109"/>
      <c r="X10" s="2109"/>
      <c r="Y10" s="2109"/>
      <c r="Z10" s="2109"/>
      <c r="AA10" s="2109"/>
      <c r="AB10" s="2109"/>
      <c r="AC10" s="2109"/>
      <c r="AD10" s="2109"/>
      <c r="AE10" s="2109"/>
    </row>
    <row r="11" spans="1:31" s="2106" customFormat="1" ht="16.5" customHeight="1">
      <c r="A11" s="2860" t="s">
        <v>1837</v>
      </c>
      <c r="B11" s="2850"/>
      <c r="C11" s="2850"/>
      <c r="D11" s="2850"/>
      <c r="E11" s="2850"/>
      <c r="F11" s="2850"/>
      <c r="G11" s="2850"/>
      <c r="H11" s="2850"/>
      <c r="I11" s="2850"/>
      <c r="J11" s="2850"/>
      <c r="K11" s="2852"/>
    </row>
    <row r="12" spans="1:31" s="2080" customFormat="1" ht="13.5" customHeight="1">
      <c r="A12" s="2861" t="s">
        <v>463</v>
      </c>
      <c r="B12" s="2833" t="s">
        <v>464</v>
      </c>
      <c r="C12" s="2862" t="s">
        <v>468</v>
      </c>
      <c r="D12" s="2829" t="s">
        <v>469</v>
      </c>
      <c r="E12" s="2829" t="s">
        <v>470</v>
      </c>
      <c r="F12" s="2829" t="s">
        <v>471</v>
      </c>
      <c r="G12" s="2833"/>
      <c r="H12" s="2834"/>
      <c r="I12" s="2834"/>
      <c r="J12" s="2834"/>
      <c r="K12" s="2835"/>
    </row>
    <row r="13" spans="1:31" s="2111" customFormat="1" ht="13.5" customHeight="1">
      <c r="A13" s="2863" t="s">
        <v>1842</v>
      </c>
      <c r="B13" s="2864" t="s">
        <v>472</v>
      </c>
      <c r="C13" s="448">
        <f ca="1">IF(B1="",'数据-取费表'!P16,INDIRECT("'数据-取费表'!p"&amp;$K$1)+INDIRECT("'数据-取费表'!t"&amp;$K$1))</f>
        <v>123228</v>
      </c>
      <c r="D13" s="2865"/>
      <c r="E13" s="2866"/>
      <c r="F13" s="2867"/>
      <c r="G13" s="2833"/>
      <c r="H13" s="2834"/>
      <c r="I13" s="2834"/>
      <c r="J13" s="2834"/>
      <c r="K13" s="2835"/>
    </row>
    <row r="14" spans="1:31" s="2111" customFormat="1" ht="13.5" customHeight="1">
      <c r="A14" s="2863" t="s">
        <v>1843</v>
      </c>
      <c r="B14" s="2864" t="s">
        <v>473</v>
      </c>
      <c r="C14" s="53">
        <f ca="1">ROUND(C13*F14,0)</f>
        <v>6161</v>
      </c>
      <c r="D14" s="2865"/>
      <c r="E14" s="2866"/>
      <c r="F14" s="2868">
        <f>'数据-取费表'!B33</f>
        <v>0.05</v>
      </c>
      <c r="G14" s="2833" t="s">
        <v>474</v>
      </c>
      <c r="H14" s="2834"/>
      <c r="I14" s="2834"/>
      <c r="J14" s="2834"/>
      <c r="K14" s="2835"/>
    </row>
    <row r="15" spans="1:31" s="2111" customFormat="1" ht="13.5" customHeight="1">
      <c r="A15" s="2863" t="s">
        <v>1844</v>
      </c>
      <c r="B15" s="2864" t="s">
        <v>475</v>
      </c>
      <c r="C15" s="53">
        <f ca="1">ROUND(IF(B1="",SUMIF('数据-取费表'!C:C,"住宅",'数据-取费表'!P:P)*F15,IF(INDIRECT("'数据-取费表'!c"&amp;$K$1)="住宅",INDIRECT("'数据-取费表'!P"&amp;$K$1)*F15,0)),0)</f>
        <v>1932</v>
      </c>
      <c r="D15" s="2865"/>
      <c r="E15" s="2866"/>
      <c r="F15" s="2868">
        <f>'数据-取费表'!B34</f>
        <v>0.03</v>
      </c>
      <c r="G15" s="2833" t="s">
        <v>476</v>
      </c>
      <c r="H15" s="2834"/>
      <c r="I15" s="2834"/>
      <c r="J15" s="2834"/>
      <c r="K15" s="2835"/>
    </row>
    <row r="16" spans="1:31" s="2112" customFormat="1" ht="13.5" customHeight="1">
      <c r="A16" s="2863" t="s">
        <v>1845</v>
      </c>
      <c r="B16" s="2864" t="s">
        <v>477</v>
      </c>
      <c r="C16" s="53">
        <f ca="1">ROUND(D16*E16/10000,0)</f>
        <v>8255</v>
      </c>
      <c r="D16" s="2865">
        <f ca="1">IF(B1="",'数据-汇总表'!E3,INDIRECT("'数据-取费表'!K"&amp;$K$1)+INDIRECT("'数据-取费表'!S"&amp;$K$1))</f>
        <v>412759.99</v>
      </c>
      <c r="E16" s="53">
        <f>'数据-取费表'!B35</f>
        <v>200</v>
      </c>
      <c r="F16" s="2868"/>
      <c r="G16" s="2833"/>
      <c r="H16" s="2834"/>
      <c r="I16" s="2834"/>
      <c r="J16" s="2834"/>
      <c r="K16" s="2835"/>
      <c r="L16" s="2111"/>
      <c r="M16" s="2111"/>
      <c r="N16" s="2111"/>
      <c r="O16" s="2111"/>
      <c r="P16" s="2111"/>
      <c r="Q16" s="2111"/>
      <c r="R16" s="2111"/>
      <c r="S16" s="2111"/>
      <c r="T16" s="2111"/>
      <c r="U16" s="2111"/>
      <c r="V16" s="2111"/>
      <c r="W16" s="2111"/>
      <c r="X16" s="2111"/>
      <c r="Y16" s="2111"/>
      <c r="Z16" s="2111"/>
      <c r="AA16" s="2111"/>
      <c r="AB16" s="2111"/>
      <c r="AC16" s="2111"/>
      <c r="AD16" s="2111"/>
      <c r="AE16" s="2111"/>
    </row>
    <row r="17" spans="1:14" s="2111" customFormat="1" ht="13.5" customHeight="1">
      <c r="A17" s="2863" t="s">
        <v>1846</v>
      </c>
      <c r="B17" s="2864" t="s">
        <v>478</v>
      </c>
      <c r="C17" s="2869">
        <f ca="1">ROUND(C13*F17,0)</f>
        <v>1848</v>
      </c>
      <c r="D17" s="473"/>
      <c r="E17" s="2869"/>
      <c r="F17" s="2870">
        <f>'数据-取费表'!B36</f>
        <v>1.4999999999999999E-2</v>
      </c>
      <c r="G17" s="256" t="s">
        <v>479</v>
      </c>
      <c r="H17" s="2836"/>
      <c r="I17" s="2836"/>
      <c r="J17" s="2836"/>
      <c r="K17" s="274"/>
    </row>
    <row r="18" spans="1:14" s="2111" customFormat="1" ht="13.5" customHeight="1">
      <c r="A18" s="2871" t="s">
        <v>1847</v>
      </c>
      <c r="B18" s="2872" t="s">
        <v>480</v>
      </c>
      <c r="C18" s="2873">
        <f ca="1">SUM(C13:C17)</f>
        <v>141424</v>
      </c>
      <c r="D18" s="2874"/>
      <c r="E18" s="466"/>
      <c r="F18" s="466"/>
      <c r="G18" s="2837" t="s">
        <v>2425</v>
      </c>
      <c r="H18" s="2838"/>
      <c r="I18" s="2838"/>
      <c r="J18" s="2838"/>
      <c r="K18" s="2839"/>
    </row>
    <row r="19" spans="1:14" s="2111" customFormat="1" ht="13.5" customHeight="1">
      <c r="A19" s="2871" t="s">
        <v>1848</v>
      </c>
      <c r="B19" s="2872" t="s">
        <v>481</v>
      </c>
      <c r="C19" s="2829">
        <f ca="1">ROUND(D19*E19/10000,0)</f>
        <v>4128</v>
      </c>
      <c r="D19" s="2875">
        <f ca="1">D16</f>
        <v>412759.99</v>
      </c>
      <c r="E19" s="2829">
        <f>'数据-取费表'!B32</f>
        <v>100</v>
      </c>
      <c r="F19" s="466"/>
      <c r="G19" s="2833" t="s">
        <v>482</v>
      </c>
      <c r="H19" s="2834"/>
      <c r="I19" s="2838"/>
      <c r="J19" s="2838"/>
      <c r="K19" s="2839"/>
    </row>
    <row r="20" spans="1:14" s="2111" customFormat="1" ht="13.5" customHeight="1">
      <c r="A20" s="2871" t="s">
        <v>1849</v>
      </c>
      <c r="B20" s="2872" t="s">
        <v>483</v>
      </c>
      <c r="C20" s="2829">
        <f ca="1">C21+C22-IF(B1="",'数据-取费表'!B29,IF(G20="已全部缴纳",C21+C22,H20))</f>
        <v>12730</v>
      </c>
      <c r="D20" s="2875"/>
      <c r="E20" s="2829"/>
      <c r="F20" s="2876"/>
      <c r="G20" s="3105"/>
      <c r="H20" s="2831"/>
      <c r="I20" s="2832" t="s">
        <v>2650</v>
      </c>
      <c r="J20" s="2838"/>
      <c r="K20" s="2839"/>
    </row>
    <row r="21" spans="1:14" s="2111" customFormat="1" ht="13.5" customHeight="1">
      <c r="A21" s="2863" t="s">
        <v>1850</v>
      </c>
      <c r="B21" s="2864" t="s">
        <v>484</v>
      </c>
      <c r="C21" s="53">
        <f ca="1">ROUND(D21*E21/10000,0)</f>
        <v>4615</v>
      </c>
      <c r="D21" s="2865">
        <f ca="1">IF(B1="",'数据-汇总表'!E5,IF(INDIRECT("'数据-取费表'!c"&amp;$K$1)="住宅",INDIRECT("'数据-取费表'!k"&amp;$K$1),0))</f>
        <v>159154</v>
      </c>
      <c r="E21" s="53">
        <f>'数据-取费表'!B27</f>
        <v>290</v>
      </c>
      <c r="F21" s="2868"/>
      <c r="G21" s="26"/>
      <c r="H21" s="51"/>
      <c r="I21" s="51"/>
      <c r="J21" s="51"/>
      <c r="K21" s="2840"/>
    </row>
    <row r="22" spans="1:14" s="2111" customFormat="1" ht="13.5" customHeight="1">
      <c r="A22" s="2863" t="s">
        <v>1851</v>
      </c>
      <c r="B22" s="2864" t="s">
        <v>485</v>
      </c>
      <c r="C22" s="53">
        <f ca="1">ROUND(D22*E22/10000,0)</f>
        <v>8115</v>
      </c>
      <c r="D22" s="2865">
        <f ca="1">IF(B1="",'数据-汇总表'!E6,IF(INDIRECT("'数据-取费表'!c"&amp;$K$1)="住宅",INDIRECT("'数据-取费表'!s"&amp;$K$1),INDIRECT("'数据-取费表'!k"&amp;$K$1)+INDIRECT("'数据-取费表'!s"&amp;$K$1)))</f>
        <v>253605.99</v>
      </c>
      <c r="E22" s="53">
        <f>'数据-取费表'!B28</f>
        <v>320</v>
      </c>
      <c r="F22" s="2868"/>
      <c r="G22" s="26"/>
      <c r="H22" s="51"/>
      <c r="I22" s="51"/>
      <c r="J22" s="51"/>
      <c r="K22" s="2840"/>
    </row>
    <row r="23" spans="1:14" s="2111" customFormat="1" ht="13.5" customHeight="1">
      <c r="A23" s="2871" t="s">
        <v>1852</v>
      </c>
      <c r="B23" s="3054" t="s">
        <v>2833</v>
      </c>
      <c r="C23" s="2873">
        <f ca="1">ROUND((C18+C19+C20)*F23,0)</f>
        <v>3166</v>
      </c>
      <c r="D23" s="466"/>
      <c r="E23" s="466"/>
      <c r="F23" s="2877">
        <f>'数据-取费表'!B37</f>
        <v>0.02</v>
      </c>
      <c r="G23" s="2833" t="s">
        <v>2426</v>
      </c>
      <c r="H23" s="2834"/>
      <c r="I23" s="2834"/>
      <c r="J23" s="2834"/>
      <c r="K23" s="2835"/>
      <c r="L23" s="2113"/>
      <c r="M23" s="2113"/>
      <c r="N23" s="2113"/>
    </row>
    <row r="24" spans="1:14" s="2111" customFormat="1" ht="13.5" customHeight="1">
      <c r="A24" s="2871" t="s">
        <v>1853</v>
      </c>
      <c r="B24" s="3054" t="s">
        <v>2836</v>
      </c>
      <c r="C24" s="2873">
        <f ca="1">ROUND(C6*F24,0)</f>
        <v>21073</v>
      </c>
      <c r="D24" s="473"/>
      <c r="E24" s="471"/>
      <c r="F24" s="2877">
        <f>'数据-取费表'!B38</f>
        <v>0.02</v>
      </c>
      <c r="G24" s="2842" t="s">
        <v>492</v>
      </c>
      <c r="H24" s="2836"/>
      <c r="I24" s="2836"/>
      <c r="J24" s="2836"/>
      <c r="K24" s="274"/>
      <c r="L24" s="2113"/>
      <c r="M24" s="2113"/>
      <c r="N24" s="2113"/>
    </row>
    <row r="25" spans="1:14" s="2114" customFormat="1" ht="13.5" customHeight="1">
      <c r="A25" s="2871" t="s">
        <v>1854</v>
      </c>
      <c r="B25" s="3054" t="s">
        <v>2834</v>
      </c>
      <c r="C25" s="465">
        <f>ROUND(F25/(1+'数据-取费表'!C42),4)</f>
        <v>2.9000000000000001E-2</v>
      </c>
      <c r="D25" s="460" t="s">
        <v>2828</v>
      </c>
      <c r="E25" s="467"/>
      <c r="F25" s="2877">
        <f>'数据-取费表'!B48+'数据-取费表'!B49</f>
        <v>3.0499999999999999E-2</v>
      </c>
      <c r="G25" s="2841" t="s">
        <v>2284</v>
      </c>
      <c r="H25" s="2834"/>
      <c r="I25" s="2834"/>
      <c r="J25" s="2834"/>
      <c r="K25" s="2835"/>
    </row>
    <row r="26" spans="1:14" s="2113" customFormat="1" ht="13.5" customHeight="1">
      <c r="A26" s="2871" t="s">
        <v>1855</v>
      </c>
      <c r="B26" s="3055" t="s">
        <v>2835</v>
      </c>
      <c r="C26" s="2878">
        <f ca="1">C28</f>
        <v>13158</v>
      </c>
      <c r="D26" s="465">
        <f ca="1">C27</f>
        <v>0.1537</v>
      </c>
      <c r="E26" s="467" t="s">
        <v>488</v>
      </c>
      <c r="F26" s="469">
        <f ca="1">'数据-取费表'!B40</f>
        <v>4.7500000000000001E-2</v>
      </c>
      <c r="G26" s="2591" t="str">
        <f>IF('数据-取费表'!B22&lt;=1,"单利计息。","复利计息。")&amp;"后续开发成本、管理费用及销售费用产生的利息。"</f>
        <v>复利计息。后续开发成本、管理费用及销售费用产生的利息。</v>
      </c>
      <c r="H26" s="2838"/>
      <c r="I26" s="2838"/>
      <c r="J26" s="2838"/>
      <c r="K26" s="2839"/>
    </row>
    <row r="27" spans="1:14" s="2115" customFormat="1" ht="13.5" customHeight="1">
      <c r="A27" s="799" t="s">
        <v>1850</v>
      </c>
      <c r="B27" s="2879" t="s">
        <v>489</v>
      </c>
      <c r="C27" s="2880">
        <f ca="1">ROUND(IF('数据-取费表'!B22&lt;=1,(1+C25)*F26*'数据-取费表'!B24,(1+C25)*(POWER((1+F26),'数据-取费表'!B24)-1)),4)</f>
        <v>0.1537</v>
      </c>
      <c r="D27" s="470"/>
      <c r="E27" s="471"/>
      <c r="F27" s="472"/>
      <c r="G27" s="2591" t="str">
        <f>IF('数据-取费表'!B22&lt;=1,"（1+取得税费率/(1+5%)）×年利率×建设期","（1+取得税费率）/(1+5%)×((1+年利率)^建设期-1)")</f>
        <v>（1+取得税费率）/(1+5%)×((1+年利率)^建设期-1)</v>
      </c>
      <c r="H27" s="2836"/>
      <c r="I27" s="2836"/>
      <c r="J27" s="2836"/>
      <c r="K27" s="274"/>
    </row>
    <row r="28" spans="1:14" s="2115" customFormat="1" ht="13.5" customHeight="1">
      <c r="A28" s="799" t="s">
        <v>1851</v>
      </c>
      <c r="B28" s="2879" t="s">
        <v>2837</v>
      </c>
      <c r="C28" s="2881">
        <f ca="1">ROUND(IF('数据-取费表'!B22&lt;=1,(C18+C19+C20+C23+C24)*F26*'数据-取费表'!B24/2,(C18+C19+C20+C23+C24)*(POWER((1+F26),'数据-取费表'!B24/2)-1)),0)</f>
        <v>13158</v>
      </c>
      <c r="D28" s="470"/>
      <c r="E28" s="471"/>
      <c r="F28" s="472"/>
      <c r="G28" s="2591" t="str">
        <f>IF('数据-取费表'!B22&lt;=1,"（1）-（4）项×年利率×建设期÷2","（1）-（4）项×((1+年利率)^(建设期÷2)-1)")</f>
        <v>（1）-（4）项×((1+年利率)^(建设期÷2)-1)</v>
      </c>
      <c r="H28" s="2836"/>
      <c r="I28" s="2836"/>
      <c r="J28" s="2836"/>
      <c r="K28" s="274"/>
    </row>
    <row r="29" spans="1:14" s="2115" customFormat="1" ht="13.5" customHeight="1">
      <c r="A29" s="2882" t="s">
        <v>1856</v>
      </c>
      <c r="B29" s="2872" t="s">
        <v>490</v>
      </c>
      <c r="C29" s="2873">
        <f ca="1">ROUND(C6*F29/(1+'数据-取费表'!C42),0)</f>
        <v>56193</v>
      </c>
      <c r="D29" s="466"/>
      <c r="E29" s="466"/>
      <c r="F29" s="3056">
        <f>'数据-取费表'!B41</f>
        <v>5.6000000000000001E-2</v>
      </c>
      <c r="G29" s="2842" t="s">
        <v>491</v>
      </c>
      <c r="H29" s="2834"/>
      <c r="I29" s="2834"/>
      <c r="J29" s="2834"/>
      <c r="K29" s="2835"/>
    </row>
    <row r="30" spans="1:14" s="2116" customFormat="1" ht="13.5" customHeight="1">
      <c r="A30" s="1630" t="s">
        <v>1857</v>
      </c>
      <c r="B30" s="2883" t="s">
        <v>493</v>
      </c>
      <c r="C30" s="2878">
        <f ca="1">C31</f>
        <v>251872</v>
      </c>
      <c r="D30" s="475">
        <f ca="1">C32</f>
        <v>0.1827</v>
      </c>
      <c r="E30" s="467" t="s">
        <v>488</v>
      </c>
      <c r="F30" s="469"/>
      <c r="G30" s="2833" t="s">
        <v>494</v>
      </c>
      <c r="H30" s="2834"/>
      <c r="I30" s="2834"/>
      <c r="J30" s="2834"/>
      <c r="K30" s="2835"/>
    </row>
    <row r="31" spans="1:14" s="2115" customFormat="1" ht="13.5" customHeight="1">
      <c r="A31" s="799" t="s">
        <v>1850</v>
      </c>
      <c r="B31" s="2879"/>
      <c r="C31" s="448">
        <f ca="1">C18+C19+C20+C23+C24+C26+C29</f>
        <v>251872</v>
      </c>
      <c r="D31" s="470"/>
      <c r="E31" s="471"/>
      <c r="F31" s="472"/>
      <c r="G31" s="256"/>
      <c r="H31" s="2836"/>
      <c r="I31" s="2836"/>
      <c r="J31" s="2836"/>
      <c r="K31" s="274"/>
    </row>
    <row r="32" spans="1:14" s="2115" customFormat="1" ht="13.5" customHeight="1">
      <c r="A32" s="799" t="s">
        <v>1851</v>
      </c>
      <c r="B32" s="2879"/>
      <c r="C32" s="53">
        <f ca="1">ROUND(C25+D26,4)</f>
        <v>0.1827</v>
      </c>
      <c r="D32" s="470"/>
      <c r="E32" s="471"/>
      <c r="F32" s="472"/>
      <c r="G32" s="256"/>
      <c r="H32" s="2836"/>
      <c r="I32" s="2836"/>
      <c r="J32" s="2836"/>
      <c r="K32" s="274"/>
    </row>
    <row r="33" spans="1:11" s="2117" customFormat="1" ht="13.5" customHeight="1">
      <c r="A33" s="3053" t="s">
        <v>2832</v>
      </c>
      <c r="B33" s="3051" t="s">
        <v>2830</v>
      </c>
      <c r="C33" s="476">
        <f ca="1">C35</f>
        <v>25553</v>
      </c>
      <c r="D33" s="465">
        <f ca="1">C34</f>
        <v>0.14410000000000001</v>
      </c>
      <c r="E33" s="467" t="s">
        <v>488</v>
      </c>
      <c r="F33" s="477">
        <f ca="1">IF(B1="",'数据-取费表'!Q16,INDIRECT("'数据-取费表'!q"&amp;$K$1))</f>
        <v>0.14000000000000001</v>
      </c>
      <c r="G33" s="2837"/>
      <c r="H33" s="2838"/>
      <c r="I33" s="2838"/>
      <c r="J33" s="2838"/>
      <c r="K33" s="2839"/>
    </row>
    <row r="34" spans="1:11" s="2118" customFormat="1" ht="13.5" customHeight="1">
      <c r="A34" s="373" t="s">
        <v>1850</v>
      </c>
      <c r="B34" s="2884" t="s">
        <v>495</v>
      </c>
      <c r="C34" s="470">
        <f ca="1">ROUND((1+C25)*F33,4)</f>
        <v>0.14410000000000001</v>
      </c>
      <c r="D34" s="470"/>
      <c r="E34" s="471"/>
      <c r="F34" s="478"/>
      <c r="G34" s="256" t="s">
        <v>2285</v>
      </c>
      <c r="H34" s="2836"/>
      <c r="I34" s="2836"/>
      <c r="J34" s="2836"/>
      <c r="K34" s="274"/>
    </row>
    <row r="35" spans="1:11" s="2118" customFormat="1" ht="13.5" customHeight="1" thickBot="1">
      <c r="A35" s="1631" t="s">
        <v>1851</v>
      </c>
      <c r="B35" s="3052" t="s">
        <v>2838</v>
      </c>
      <c r="C35" s="1623">
        <f ca="1">ROUND((C18+C19+C20+C23+C24)*F33,0)</f>
        <v>25553</v>
      </c>
      <c r="D35" s="1624"/>
      <c r="E35" s="2885"/>
      <c r="F35" s="1625"/>
      <c r="G35" s="2843"/>
      <c r="H35" s="2844"/>
      <c r="I35" s="2844"/>
      <c r="J35" s="2844"/>
      <c r="K35" s="2845"/>
    </row>
    <row r="36" spans="1:11" s="2080" customFormat="1" ht="13.5" customHeight="1" thickBot="1">
      <c r="A36" s="279" t="s">
        <v>1838</v>
      </c>
      <c r="B36" s="2847"/>
      <c r="C36" s="2886">
        <f ca="1">ROUND((C6-C30-C33)/(1+D30+D33),0)</f>
        <v>585017</v>
      </c>
      <c r="D36" s="2847"/>
      <c r="E36" s="2847"/>
      <c r="F36" s="2847"/>
      <c r="G36" s="2846" t="s">
        <v>2839</v>
      </c>
      <c r="H36" s="2847"/>
      <c r="I36" s="2847"/>
      <c r="J36" s="2847"/>
      <c r="K36" s="284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93"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19" customWidth="1"/>
    <col min="2" max="2" width="25.75" style="2109" customWidth="1"/>
    <col min="3" max="3" width="10.375" style="2120" customWidth="1"/>
    <col min="4" max="4" width="12" style="2109" customWidth="1"/>
    <col min="5" max="5" width="9.5" style="2119" customWidth="1"/>
    <col min="6" max="6" width="10.125" style="2109" customWidth="1"/>
    <col min="7" max="7" width="9.5" style="2109" customWidth="1"/>
    <col min="8" max="8" width="10" style="2109" customWidth="1"/>
    <col min="9" max="11" width="9.5" style="2109" customWidth="1"/>
    <col min="12" max="12" width="9" style="2109" customWidth="1"/>
    <col min="13" max="13" width="10.5" style="2109" bestFit="1" customWidth="1"/>
    <col min="14" max="254" width="9" style="2109" customWidth="1"/>
    <col min="255" max="16384" width="6.625" style="2109"/>
  </cols>
  <sheetData>
    <row r="1" spans="1:41" s="2036" customFormat="1" ht="20.25">
      <c r="A1" s="419" t="s">
        <v>459</v>
      </c>
      <c r="B1" s="2830"/>
      <c r="C1" s="2099"/>
      <c r="D1" s="2099"/>
      <c r="E1" s="2099"/>
      <c r="F1" s="2099"/>
      <c r="G1" s="2099"/>
      <c r="H1" s="2099"/>
      <c r="I1" s="2099"/>
      <c r="J1" s="2099"/>
      <c r="K1" s="420">
        <f>MATCH(B1,'数据-取费表'!A6:A16,0)+5</f>
        <v>11</v>
      </c>
    </row>
    <row r="2" spans="1:41" s="2036" customFormat="1" ht="18" customHeight="1">
      <c r="A2" s="421" t="s">
        <v>460</v>
      </c>
      <c r="B2" s="422">
        <f ca="1">C32</f>
        <v>0</v>
      </c>
      <c r="C2" s="2099"/>
      <c r="D2" s="2099"/>
      <c r="E2" s="2099"/>
      <c r="F2" s="2099"/>
      <c r="G2" s="2099"/>
      <c r="H2" s="2099"/>
      <c r="I2" s="2099"/>
      <c r="J2" s="2099"/>
      <c r="K2" s="2099"/>
    </row>
    <row r="3" spans="1:41" s="2036" customFormat="1" ht="18" customHeight="1">
      <c r="A3" s="1374" t="s">
        <v>1678</v>
      </c>
      <c r="B3" s="423">
        <f ca="1">ROUND(B2*10000/IF(B1="",'数据-汇总表'!E3,INDIRECT("'数据-取费表'!K"&amp;$K$1)),0)</f>
        <v>0</v>
      </c>
      <c r="C3" s="2099"/>
      <c r="D3" s="2099"/>
      <c r="E3" s="2099"/>
      <c r="F3" s="2099"/>
      <c r="G3" s="2099"/>
      <c r="H3" s="2099"/>
      <c r="I3" s="2099"/>
      <c r="J3" s="2099"/>
      <c r="K3" s="2099"/>
    </row>
    <row r="4" spans="1:41" s="2036" customFormat="1" ht="18" customHeight="1">
      <c r="A4" s="424" t="s">
        <v>461</v>
      </c>
      <c r="B4" s="425">
        <f ca="1">ROUND(B2*10000/IF(B1="",'数据-汇总表'!D3,INDIRECT("'数据-取费表'!R"&amp;$K$1)),0)</f>
        <v>0</v>
      </c>
      <c r="C4" s="2056"/>
      <c r="D4" s="2099"/>
      <c r="E4" s="2099"/>
      <c r="F4" s="2099"/>
      <c r="G4" s="2099"/>
      <c r="H4" s="2099"/>
      <c r="I4" s="2099"/>
      <c r="J4" s="2099"/>
      <c r="K4" s="2099"/>
    </row>
    <row r="5" spans="1:41" s="2036" customFormat="1" ht="18" customHeight="1" thickBot="1">
      <c r="A5" s="427"/>
      <c r="B5" s="428">
        <f ca="1">ROUND(B2/(IF(B1="",'数据-汇总表'!D3,INDIRECT("'数据-取费表'!R"&amp;$K$1))/666.67),0)</f>
        <v>0</v>
      </c>
      <c r="C5" s="429" t="s">
        <v>462</v>
      </c>
      <c r="D5" s="2099"/>
      <c r="E5" s="2099"/>
      <c r="F5" s="2099"/>
      <c r="G5" s="2099"/>
      <c r="H5" s="2099"/>
      <c r="I5" s="2099"/>
      <c r="J5" s="2099"/>
      <c r="K5" s="2099"/>
    </row>
    <row r="6" spans="1:41" s="2106" customFormat="1" ht="16.5" customHeight="1">
      <c r="A6" s="430" t="s">
        <v>2651</v>
      </c>
      <c r="B6" s="431"/>
      <c r="C6" s="1618">
        <f>SUM(C10:K10)</f>
        <v>0</v>
      </c>
      <c r="D6" s="2104"/>
      <c r="E6" s="2104"/>
      <c r="F6" s="2104"/>
      <c r="G6" s="2104"/>
      <c r="H6" s="2104"/>
      <c r="I6" s="2104"/>
      <c r="J6" s="2104"/>
      <c r="K6" s="2105"/>
    </row>
    <row r="7" spans="1:41" s="2108" customFormat="1" ht="15">
      <c r="A7" s="432" t="s">
        <v>463</v>
      </c>
      <c r="B7" s="433" t="s">
        <v>464</v>
      </c>
      <c r="C7" s="434"/>
      <c r="D7" s="434"/>
      <c r="E7" s="434"/>
      <c r="F7" s="434"/>
      <c r="G7" s="434"/>
      <c r="H7" s="434"/>
      <c r="I7" s="434"/>
      <c r="J7" s="434"/>
      <c r="K7" s="435"/>
      <c r="L7" s="2107"/>
      <c r="M7" s="2107"/>
      <c r="N7" s="2107"/>
      <c r="O7" s="2107"/>
      <c r="P7" s="2107"/>
      <c r="Q7" s="2107"/>
      <c r="R7" s="2107"/>
      <c r="S7" s="2107"/>
      <c r="T7" s="2107"/>
      <c r="U7" s="2107"/>
      <c r="V7" s="2107"/>
      <c r="W7" s="2107"/>
      <c r="X7" s="2107"/>
      <c r="Y7" s="2107"/>
      <c r="Z7" s="2107"/>
      <c r="AA7" s="2107"/>
      <c r="AB7" s="2107"/>
      <c r="AC7" s="2107"/>
      <c r="AD7" s="2107"/>
      <c r="AE7" s="2107"/>
      <c r="AF7" s="2107"/>
      <c r="AG7" s="2107"/>
      <c r="AH7" s="2107"/>
      <c r="AI7" s="2107"/>
      <c r="AJ7" s="2107"/>
      <c r="AK7" s="2107"/>
      <c r="AL7" s="2107"/>
      <c r="AM7" s="2107"/>
      <c r="AN7" s="2107"/>
      <c r="AO7" s="2107"/>
    </row>
    <row r="8" spans="1:41" s="2110" customFormat="1" ht="13.5" customHeight="1">
      <c r="A8" s="1626" t="s">
        <v>1839</v>
      </c>
      <c r="B8" s="436" t="s">
        <v>465</v>
      </c>
      <c r="C8" s="437"/>
      <c r="D8" s="437"/>
      <c r="E8" s="437"/>
      <c r="F8" s="437"/>
      <c r="G8" s="437"/>
      <c r="H8" s="437"/>
      <c r="I8" s="437"/>
      <c r="J8" s="437"/>
      <c r="K8" s="438"/>
      <c r="L8" s="2109"/>
      <c r="M8" s="2109"/>
      <c r="N8" s="2109"/>
      <c r="O8" s="2109"/>
      <c r="P8" s="2109"/>
      <c r="Q8" s="2109"/>
      <c r="R8" s="2109"/>
      <c r="S8" s="2109"/>
      <c r="T8" s="2109"/>
      <c r="U8" s="2109"/>
      <c r="V8" s="2109"/>
      <c r="W8" s="2109"/>
      <c r="X8" s="2109"/>
      <c r="Y8" s="2109"/>
      <c r="Z8" s="2109"/>
      <c r="AA8" s="2109"/>
      <c r="AB8" s="2109"/>
      <c r="AC8" s="2109"/>
      <c r="AD8" s="2109"/>
      <c r="AE8" s="2109"/>
      <c r="AF8" s="2109"/>
      <c r="AG8" s="2109"/>
      <c r="AH8" s="2109"/>
      <c r="AI8" s="2109"/>
      <c r="AJ8" s="2109"/>
      <c r="AK8" s="2109"/>
      <c r="AL8" s="2109"/>
      <c r="AM8" s="2109"/>
      <c r="AN8" s="2109"/>
      <c r="AO8" s="2109"/>
    </row>
    <row r="9" spans="1:41" s="2110" customFormat="1" ht="13.5" customHeight="1">
      <c r="A9" s="1626" t="s">
        <v>1840</v>
      </c>
      <c r="B9" s="436" t="s">
        <v>466</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09"/>
      <c r="M9" s="2109"/>
      <c r="N9" s="2109"/>
      <c r="O9" s="2109"/>
      <c r="P9" s="2109"/>
      <c r="Q9" s="2109"/>
      <c r="R9" s="2109"/>
      <c r="S9" s="2109"/>
      <c r="T9" s="2109"/>
      <c r="U9" s="2109"/>
      <c r="V9" s="2109"/>
      <c r="W9" s="2109"/>
      <c r="X9" s="2109"/>
      <c r="Y9" s="2109"/>
      <c r="Z9" s="2109"/>
      <c r="AA9" s="2109"/>
      <c r="AB9" s="2109"/>
      <c r="AC9" s="2109"/>
      <c r="AD9" s="2109"/>
      <c r="AE9" s="2109"/>
      <c r="AF9" s="2109"/>
      <c r="AG9" s="2109"/>
      <c r="AH9" s="2109"/>
      <c r="AI9" s="2109"/>
      <c r="AJ9" s="2109"/>
      <c r="AK9" s="2109"/>
      <c r="AL9" s="2109"/>
      <c r="AM9" s="2109"/>
      <c r="AN9" s="2109"/>
      <c r="AO9" s="2109"/>
    </row>
    <row r="10" spans="1:41" s="2110" customFormat="1" ht="13.5" customHeight="1" thickBot="1">
      <c r="A10" s="1627" t="s">
        <v>1841</v>
      </c>
      <c r="B10" s="1619" t="s">
        <v>467</v>
      </c>
      <c r="C10" s="1620"/>
      <c r="D10" s="1620"/>
      <c r="E10" s="1620"/>
      <c r="F10" s="1621"/>
      <c r="G10" s="1621"/>
      <c r="H10" s="1621"/>
      <c r="I10" s="1621"/>
      <c r="J10" s="1621"/>
      <c r="K10" s="1622"/>
      <c r="L10" s="2109"/>
      <c r="M10" s="2109"/>
      <c r="N10" s="2109"/>
      <c r="O10" s="2109"/>
      <c r="P10" s="2109"/>
      <c r="Q10" s="2109"/>
      <c r="R10" s="2109"/>
      <c r="S10" s="2109"/>
      <c r="T10" s="2109"/>
      <c r="U10" s="2109"/>
      <c r="V10" s="2109"/>
      <c r="W10" s="2109"/>
      <c r="X10" s="2109"/>
      <c r="Y10" s="2109"/>
      <c r="Z10" s="2109"/>
      <c r="AA10" s="2109"/>
      <c r="AB10" s="2109"/>
      <c r="AC10" s="2109"/>
      <c r="AD10" s="2109"/>
      <c r="AE10" s="2109"/>
      <c r="AF10" s="2109"/>
      <c r="AG10" s="2109"/>
      <c r="AH10" s="2109"/>
      <c r="AI10" s="2109"/>
      <c r="AJ10" s="2109"/>
      <c r="AK10" s="2109"/>
      <c r="AL10" s="2109"/>
      <c r="AM10" s="2109"/>
      <c r="AN10" s="2109"/>
      <c r="AO10" s="2109"/>
    </row>
    <row r="11" spans="1:41" s="2106" customFormat="1" ht="16.5" customHeight="1">
      <c r="A11" s="1615" t="s">
        <v>1858</v>
      </c>
      <c r="B11" s="1616"/>
      <c r="C11" s="1616"/>
      <c r="D11" s="1616"/>
      <c r="E11" s="1616"/>
      <c r="F11" s="1616"/>
      <c r="G11" s="1616"/>
      <c r="H11" s="1616"/>
      <c r="I11" s="1616"/>
      <c r="J11" s="1616"/>
      <c r="K11" s="1617"/>
    </row>
    <row r="12" spans="1:41" s="2080" customFormat="1" ht="13.5" customHeight="1">
      <c r="A12" s="432" t="s">
        <v>463</v>
      </c>
      <c r="B12" s="442" t="s">
        <v>464</v>
      </c>
      <c r="C12" s="443" t="s">
        <v>468</v>
      </c>
      <c r="D12" s="444" t="s">
        <v>469</v>
      </c>
      <c r="E12" s="444" t="s">
        <v>470</v>
      </c>
      <c r="F12" s="444" t="s">
        <v>471</v>
      </c>
      <c r="G12" s="442"/>
      <c r="H12" s="445"/>
      <c r="I12" s="445"/>
      <c r="J12" s="445"/>
      <c r="K12" s="446"/>
    </row>
    <row r="13" spans="1:41" s="2111" customFormat="1" ht="13.5" customHeight="1">
      <c r="A13" s="1628" t="s">
        <v>1842</v>
      </c>
      <c r="B13" s="447" t="s">
        <v>472</v>
      </c>
      <c r="C13" s="448">
        <f ca="1">IF(B1="",'数据-取费表'!M16,INDIRECT("'数据-取费表'!M"&amp;$K$1)+INDIRECT("'数据-取费表'!t"&amp;$K$1))</f>
        <v>123228</v>
      </c>
      <c r="D13" s="449"/>
      <c r="E13" s="363"/>
      <c r="F13" s="450"/>
      <c r="G13" s="442"/>
      <c r="H13" s="445"/>
      <c r="I13" s="445"/>
      <c r="J13" s="445"/>
      <c r="K13" s="446"/>
    </row>
    <row r="14" spans="1:41" s="2111" customFormat="1" ht="13.5" customHeight="1">
      <c r="A14" s="1628" t="s">
        <v>1843</v>
      </c>
      <c r="B14" s="447" t="s">
        <v>473</v>
      </c>
      <c r="C14" s="53">
        <f ca="1">ROUND(C13*F14,0)</f>
        <v>6161</v>
      </c>
      <c r="D14" s="449"/>
      <c r="E14" s="363"/>
      <c r="F14" s="451">
        <f>'数据-取费表'!B33</f>
        <v>0.05</v>
      </c>
      <c r="G14" s="442" t="s">
        <v>496</v>
      </c>
      <c r="H14" s="445"/>
      <c r="I14" s="445"/>
      <c r="J14" s="445"/>
      <c r="K14" s="446"/>
    </row>
    <row r="15" spans="1:41" s="2111" customFormat="1" ht="13.5" customHeight="1">
      <c r="A15" s="1628" t="s">
        <v>1844</v>
      </c>
      <c r="B15" s="447" t="s">
        <v>475</v>
      </c>
      <c r="C15" s="53">
        <f ca="1">ROUND(IF(B1="",SUMIF('数据-取费表'!C:C,"住宅",'数据-取费表'!M:M)*F15,IF(INDIRECT("'数据-取费表'!c"&amp;$K$1)="住宅",INDIRECT("'数据-取费表'!M"&amp;$K$1)*F15,0)),0)</f>
        <v>1932</v>
      </c>
      <c r="D15" s="449"/>
      <c r="E15" s="363"/>
      <c r="F15" s="451">
        <f>'数据-取费表'!B34</f>
        <v>0.03</v>
      </c>
      <c r="G15" s="442" t="s">
        <v>496</v>
      </c>
      <c r="H15" s="445"/>
      <c r="I15" s="445"/>
      <c r="J15" s="445"/>
      <c r="K15" s="446"/>
    </row>
    <row r="16" spans="1:41" s="2112" customFormat="1" ht="13.5" customHeight="1">
      <c r="A16" s="1628" t="s">
        <v>1845</v>
      </c>
      <c r="B16" s="447" t="s">
        <v>477</v>
      </c>
      <c r="C16" s="53">
        <f ca="1">ROUND(D16*E16/10000,0)</f>
        <v>8255</v>
      </c>
      <c r="D16" s="449">
        <f ca="1">IF(B1="",'数据-汇总表'!E3,INDIRECT("'数据-取费表'!K"&amp;$K$1)+INDIRECT("'数据-取费表'!S"&amp;$K$1))</f>
        <v>412759.99</v>
      </c>
      <c r="E16" s="53">
        <f>'数据-取费表'!B35</f>
        <v>200</v>
      </c>
      <c r="F16" s="451"/>
      <c r="G16" s="442"/>
      <c r="H16" s="445"/>
      <c r="I16" s="445"/>
      <c r="J16" s="445"/>
      <c r="K16" s="446"/>
      <c r="L16" s="2111"/>
      <c r="M16" s="2111"/>
      <c r="N16" s="2111"/>
      <c r="O16" s="2111"/>
      <c r="P16" s="2111"/>
      <c r="Q16" s="2111"/>
      <c r="R16" s="2111"/>
      <c r="S16" s="2111"/>
      <c r="T16" s="2111"/>
      <c r="U16" s="2111"/>
      <c r="V16" s="2111"/>
      <c r="W16" s="2111"/>
      <c r="X16" s="2111"/>
      <c r="Y16" s="2111"/>
      <c r="Z16" s="2111"/>
      <c r="AA16" s="2111"/>
      <c r="AB16" s="2111"/>
      <c r="AC16" s="2111"/>
      <c r="AD16" s="2111"/>
      <c r="AE16" s="2111"/>
      <c r="AF16" s="2111"/>
      <c r="AG16" s="2111"/>
      <c r="AH16" s="2111"/>
      <c r="AI16" s="2111"/>
      <c r="AJ16" s="2111"/>
      <c r="AK16" s="2111"/>
      <c r="AL16" s="2111"/>
      <c r="AM16" s="2111"/>
      <c r="AN16" s="2111"/>
      <c r="AO16" s="2111"/>
    </row>
    <row r="17" spans="1:14" s="2111" customFormat="1" ht="13.5" customHeight="1">
      <c r="A17" s="1628" t="s">
        <v>1846</v>
      </c>
      <c r="B17" s="447" t="s">
        <v>478</v>
      </c>
      <c r="C17" s="452">
        <f ca="1">ROUND(C13*F17,0)</f>
        <v>1848</v>
      </c>
      <c r="D17" s="453"/>
      <c r="E17" s="452"/>
      <c r="F17" s="454">
        <f>'数据-取费表'!B36</f>
        <v>1.4999999999999999E-2</v>
      </c>
      <c r="G17" s="442" t="s">
        <v>496</v>
      </c>
      <c r="H17" s="455"/>
      <c r="I17" s="455"/>
      <c r="J17" s="455"/>
      <c r="K17" s="456"/>
    </row>
    <row r="18" spans="1:14" s="2114" customFormat="1" ht="13.5" customHeight="1">
      <c r="A18" s="1629" t="s">
        <v>1847</v>
      </c>
      <c r="B18" s="457" t="s">
        <v>480</v>
      </c>
      <c r="C18" s="458">
        <f ca="1">SUM(C13:C17)</f>
        <v>141424</v>
      </c>
      <c r="D18" s="459"/>
      <c r="E18" s="460"/>
      <c r="F18" s="460"/>
      <c r="G18" s="1322" t="s">
        <v>2427</v>
      </c>
      <c r="H18" s="445"/>
      <c r="I18" s="445"/>
      <c r="J18" s="445"/>
      <c r="K18" s="446"/>
    </row>
    <row r="19" spans="1:14" s="2114" customFormat="1" ht="13.5" customHeight="1">
      <c r="A19" s="1629" t="s">
        <v>1848</v>
      </c>
      <c r="B19" s="457" t="s">
        <v>486</v>
      </c>
      <c r="C19" s="458">
        <f ca="1">ROUND(C18*F19,0)</f>
        <v>2828</v>
      </c>
      <c r="D19" s="460"/>
      <c r="E19" s="460"/>
      <c r="F19" s="464">
        <f>'数据-取费表'!B37</f>
        <v>0.02</v>
      </c>
      <c r="G19" s="442" t="s">
        <v>497</v>
      </c>
      <c r="H19" s="445"/>
      <c r="I19" s="445"/>
      <c r="J19" s="445"/>
      <c r="K19" s="446"/>
      <c r="L19" s="2116"/>
      <c r="M19" s="2116"/>
      <c r="N19" s="2116"/>
    </row>
    <row r="20" spans="1:14" s="2114" customFormat="1" ht="13.5" customHeight="1">
      <c r="A20" s="1629" t="s">
        <v>1849</v>
      </c>
      <c r="B20" s="457" t="s">
        <v>498</v>
      </c>
      <c r="C20" s="3049">
        <f>F20</f>
        <v>0.02</v>
      </c>
      <c r="D20" s="467" t="s">
        <v>499</v>
      </c>
      <c r="E20" s="467"/>
      <c r="F20" s="484">
        <f>'数据-取费表'!B38</f>
        <v>0.02</v>
      </c>
      <c r="G20" s="1322" t="s">
        <v>500</v>
      </c>
      <c r="H20" s="445"/>
      <c r="I20" s="445"/>
      <c r="J20" s="445"/>
      <c r="K20" s="446"/>
      <c r="L20" s="2116"/>
      <c r="M20" s="2116"/>
      <c r="N20" s="2116"/>
    </row>
    <row r="21" spans="1:14" s="2116" customFormat="1" ht="13.5" customHeight="1">
      <c r="A21" s="1629" t="s">
        <v>1852</v>
      </c>
      <c r="B21" s="459" t="s">
        <v>487</v>
      </c>
      <c r="C21" s="468">
        <f ca="1">C22</f>
        <v>10399</v>
      </c>
      <c r="D21" s="465">
        <f ca="1">C23</f>
        <v>1.4E-3</v>
      </c>
      <c r="E21" s="467" t="s">
        <v>501</v>
      </c>
      <c r="F21" s="469">
        <f ca="1">'数据-取费表'!B40</f>
        <v>4.7500000000000001E-2</v>
      </c>
      <c r="G21" s="1322" t="str">
        <f>IF('数据-取费表'!B22&lt;=1,"单利计息。","复利计息。")&amp;"建造成本、管理费用及销售费用产生的利息。"</f>
        <v>复利计息。建造成本、管理费用及销售费用产生的利息。</v>
      </c>
      <c r="H21" s="445"/>
      <c r="I21" s="445"/>
      <c r="J21" s="445"/>
      <c r="K21" s="446"/>
      <c r="L21" s="2113" t="s">
        <v>2449</v>
      </c>
    </row>
    <row r="22" spans="1:14" s="2115" customFormat="1" ht="13.5" customHeight="1">
      <c r="A22" s="1628" t="s">
        <v>1842</v>
      </c>
      <c r="B22" s="1323" t="s">
        <v>2430</v>
      </c>
      <c r="C22" s="485">
        <f ca="1">ROUND(IF('数据-取费表'!B22&lt;=1,(C18+C19)*F21*'数据-取费表'!B20/2,(C18+C19)*(POWER((1+F21),'数据-取费表'!B20/2)-1)),0)</f>
        <v>10399</v>
      </c>
      <c r="D22" s="470"/>
      <c r="E22" s="471"/>
      <c r="F22" s="472"/>
      <c r="G22" s="2586" t="str">
        <f>IF('数据-取费表'!B22&lt;=1,"((1)+(2))×年利率×建设期÷2","((1)+(2))×((1+年利率)^(建设期÷2)-1)")</f>
        <v>((1)+(2))×((1+年利率)^(建设期÷2)-1)</v>
      </c>
      <c r="H22" s="455"/>
      <c r="I22" s="455"/>
      <c r="J22" s="455"/>
      <c r="K22" s="456"/>
    </row>
    <row r="23" spans="1:14" s="2115" customFormat="1" ht="13.5" customHeight="1">
      <c r="A23" s="1628" t="s">
        <v>1843</v>
      </c>
      <c r="B23" s="1323" t="s">
        <v>502</v>
      </c>
      <c r="C23" s="486">
        <f ca="1">ROUND(IF('数据-取费表'!B22&lt;=1,F20*F21*'数据-取费表'!B20/2,F20*(POWER((1+F21),'数据-取费表'!B20/2)-1)),4)</f>
        <v>1.4E-3</v>
      </c>
      <c r="D23" s="470"/>
      <c r="E23" s="471"/>
      <c r="F23" s="472"/>
      <c r="G23" s="2586" t="str">
        <f>IF('数据-取费表'!B22&lt;=1,"销售费用率×年利率×建设期÷2","销售费用率×((1+年利率)^(建设期÷2)-1)")</f>
        <v>销售费用率×((1+年利率)^(建设期÷2)-1)</v>
      </c>
      <c r="H23" s="455"/>
      <c r="I23" s="455"/>
      <c r="J23" s="455"/>
      <c r="K23" s="456"/>
    </row>
    <row r="24" spans="1:14" s="2115" customFormat="1" ht="13.5" customHeight="1">
      <c r="A24" s="1629" t="s">
        <v>1853</v>
      </c>
      <c r="B24" s="3051" t="s">
        <v>2831</v>
      </c>
      <c r="C24" s="476">
        <f ca="1">C25</f>
        <v>20195</v>
      </c>
      <c r="D24" s="487">
        <f ca="1">C26</f>
        <v>2.8E-3</v>
      </c>
      <c r="E24" s="467" t="s">
        <v>501</v>
      </c>
      <c r="F24" s="477">
        <f ca="1">IF(B1="",'数据-取费表'!Q16,INDIRECT("'数据-取费表'!q"&amp;$K$1))</f>
        <v>0.14000000000000001</v>
      </c>
      <c r="G24" s="442"/>
      <c r="H24" s="445"/>
      <c r="I24" s="445"/>
      <c r="J24" s="445"/>
      <c r="K24" s="446"/>
    </row>
    <row r="25" spans="1:14" s="2115" customFormat="1" ht="13.5" customHeight="1">
      <c r="A25" s="1628" t="s">
        <v>1842</v>
      </c>
      <c r="B25" s="1323" t="s">
        <v>2431</v>
      </c>
      <c r="C25" s="488">
        <f ca="1">ROUND((C18+C19)*F24,0)</f>
        <v>20195</v>
      </c>
      <c r="D25" s="470"/>
      <c r="E25" s="471"/>
      <c r="F25" s="478"/>
      <c r="G25" s="1321" t="s">
        <v>2428</v>
      </c>
      <c r="H25" s="455"/>
      <c r="I25" s="455"/>
      <c r="J25" s="455"/>
      <c r="K25" s="456"/>
    </row>
    <row r="26" spans="1:14" s="2115" customFormat="1" ht="13.5" customHeight="1">
      <c r="A26" s="1628" t="s">
        <v>1843</v>
      </c>
      <c r="B26" s="1323" t="s">
        <v>503</v>
      </c>
      <c r="C26" s="489">
        <f ca="1">ROUND(F20*F24,4)</f>
        <v>2.8E-3</v>
      </c>
      <c r="D26" s="470"/>
      <c r="E26" s="479"/>
      <c r="F26" s="478"/>
      <c r="G26" s="1321" t="s">
        <v>504</v>
      </c>
      <c r="H26" s="455"/>
      <c r="I26" s="455"/>
      <c r="J26" s="455"/>
      <c r="K26" s="456"/>
    </row>
    <row r="27" spans="1:14" s="2115" customFormat="1" ht="13.5" customHeight="1">
      <c r="A27" s="1632" t="s">
        <v>1861</v>
      </c>
      <c r="B27" s="457" t="s">
        <v>505</v>
      </c>
      <c r="C27" s="3050">
        <f>ROUND(F27/(1+'数据-取费表'!C42),4)</f>
        <v>5.33E-2</v>
      </c>
      <c r="D27" s="460" t="s">
        <v>2829</v>
      </c>
      <c r="E27" s="460"/>
      <c r="F27" s="464">
        <f>'数据-取费表'!B41</f>
        <v>5.6000000000000001E-2</v>
      </c>
      <c r="G27" s="1955" t="s">
        <v>2286</v>
      </c>
      <c r="H27" s="445"/>
      <c r="I27" s="445"/>
      <c r="J27" s="445"/>
      <c r="K27" s="446"/>
    </row>
    <row r="28" spans="1:14" s="2116" customFormat="1" ht="13.5" customHeight="1">
      <c r="A28" s="1632" t="s">
        <v>1862</v>
      </c>
      <c r="B28" s="474" t="s">
        <v>506</v>
      </c>
      <c r="C28" s="468">
        <f ca="1">ROUND((C18+C19+C21+C24)/(1-C20-D21-D24-C27),0)</f>
        <v>189535</v>
      </c>
      <c r="D28" s="475"/>
      <c r="E28" s="467"/>
      <c r="F28" s="469"/>
      <c r="G28" s="1322" t="s">
        <v>2429</v>
      </c>
      <c r="H28" s="445"/>
      <c r="I28" s="445"/>
      <c r="J28" s="445"/>
      <c r="K28" s="446"/>
    </row>
    <row r="29" spans="1:14" s="2116" customFormat="1" ht="13.5" customHeight="1">
      <c r="A29" s="1632" t="s">
        <v>1863</v>
      </c>
      <c r="B29" s="474" t="s">
        <v>507</v>
      </c>
      <c r="C29" s="490">
        <f ca="1">IF(B1="",'数据-取费表'!N16,INDIRECT("'数据-取费表'!N"&amp;$K$1))</f>
        <v>0</v>
      </c>
      <c r="D29" s="491"/>
      <c r="E29" s="492"/>
      <c r="F29" s="493"/>
      <c r="G29" s="442"/>
      <c r="H29" s="445"/>
      <c r="I29" s="445"/>
      <c r="J29" s="445"/>
      <c r="K29" s="446"/>
    </row>
    <row r="30" spans="1:14" s="2116" customFormat="1" ht="13.5" customHeight="1">
      <c r="A30" s="441">
        <v>2</v>
      </c>
      <c r="B30" s="474" t="s">
        <v>508</v>
      </c>
      <c r="C30" s="495">
        <f ca="1">ROUND(C28*C29,0)</f>
        <v>0</v>
      </c>
      <c r="D30" s="491"/>
      <c r="E30" s="496"/>
      <c r="F30" s="497"/>
      <c r="G30" s="1324" t="s">
        <v>509</v>
      </c>
      <c r="H30" s="494"/>
      <c r="I30" s="494"/>
      <c r="J30" s="445"/>
      <c r="K30" s="446"/>
    </row>
    <row r="31" spans="1:14" s="2121" customFormat="1" ht="13.5" customHeight="1">
      <c r="A31" s="2501" t="s">
        <v>1859</v>
      </c>
      <c r="B31" s="1325"/>
      <c r="C31" s="498">
        <f>ROUND(C6*F31/(1+'数据-取费表'!C42),0)</f>
        <v>0</v>
      </c>
      <c r="D31" s="1326"/>
      <c r="E31" s="1326"/>
      <c r="F31" s="499">
        <f>'数据-取费表'!B41</f>
        <v>5.6000000000000001E-2</v>
      </c>
      <c r="G31" s="1327"/>
      <c r="H31" s="1327"/>
      <c r="I31" s="1327"/>
      <c r="J31" s="1328"/>
      <c r="K31" s="1329"/>
    </row>
    <row r="32" spans="1:14" s="2080" customFormat="1" ht="13.5" customHeight="1" thickBot="1">
      <c r="A32" s="480" t="s">
        <v>1860</v>
      </c>
      <c r="B32" s="481"/>
      <c r="C32" s="482">
        <f ca="1">IF('数据-取费表'!B20&lt;=1,(C6-C30-C31)/(1+F21*'数据-取费表'!B20+F24)/(1+'数据-取费表'!B48+'数据-取费表'!B49),(C6-C30-C31)/(1+(POWER((1+F21),'数据-取费表'!B20)-1)+F24)/(1+'数据-取费表'!B48+'数据-取费表'!B49))</f>
        <v>0</v>
      </c>
      <c r="D32" s="481"/>
      <c r="E32" s="481"/>
      <c r="F32" s="481"/>
      <c r="G32" s="2502" t="s">
        <v>2450</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0" t="s">
        <v>510</v>
      </c>
      <c r="B1" s="501"/>
      <c r="C1" s="502" t="s">
        <v>591</v>
      </c>
      <c r="D1" s="503" t="s">
        <v>512</v>
      </c>
      <c r="E1" s="733"/>
      <c r="F1" s="734"/>
      <c r="G1" s="733"/>
      <c r="H1" s="733"/>
      <c r="I1" s="733"/>
      <c r="J1" s="733"/>
      <c r="K1" s="735"/>
      <c r="L1" s="1557"/>
      <c r="M1" s="1558"/>
      <c r="N1" s="1558"/>
      <c r="O1" s="1558"/>
      <c r="P1" s="1559"/>
      <c r="Q1" s="1559"/>
      <c r="R1" s="1559"/>
      <c r="S1" s="1559"/>
      <c r="T1" s="1559"/>
      <c r="U1" s="1559"/>
      <c r="V1" s="1559"/>
      <c r="W1" s="1559"/>
      <c r="X1" s="1559"/>
      <c r="Y1" s="1559"/>
      <c r="Z1" s="1559"/>
      <c r="AA1" s="1559"/>
      <c r="AB1" s="1559"/>
      <c r="AC1" s="1560"/>
    </row>
    <row r="2" spans="1:29" s="1331" customFormat="1" ht="28.5" customHeight="1">
      <c r="A2" s="421" t="s">
        <v>460</v>
      </c>
      <c r="B2" s="506" t="e">
        <f>F63</f>
        <v>#DIV/0!</v>
      </c>
      <c r="C2" s="2123"/>
      <c r="D2" s="2123"/>
      <c r="E2" s="2123"/>
      <c r="F2" s="2124"/>
      <c r="G2" s="2123"/>
      <c r="H2" s="2123"/>
      <c r="I2" s="2123"/>
      <c r="J2" s="2123"/>
      <c r="K2" s="2125"/>
      <c r="L2" s="2126"/>
      <c r="M2" s="2127"/>
      <c r="N2" s="2127"/>
      <c r="O2" s="2127"/>
      <c r="P2" s="1559"/>
      <c r="Q2" s="1559"/>
      <c r="R2" s="1559"/>
      <c r="S2" s="1559"/>
      <c r="T2" s="1559"/>
      <c r="U2" s="1559"/>
      <c r="V2" s="1559"/>
      <c r="W2" s="1559"/>
      <c r="X2" s="1559"/>
      <c r="Y2" s="1559"/>
      <c r="Z2" s="1559"/>
      <c r="AA2" s="1559"/>
      <c r="AB2" s="1559"/>
      <c r="AC2" s="1560"/>
    </row>
    <row r="3" spans="1:29" s="1331" customFormat="1" ht="28.5" customHeight="1">
      <c r="A3" s="1375" t="s">
        <v>1679</v>
      </c>
      <c r="B3" s="508" t="e">
        <f>ROUND(B2*10000/'数据-汇总表'!E3,0)</f>
        <v>#DIV/0!</v>
      </c>
      <c r="C3" s="2056"/>
      <c r="D3" s="2056"/>
      <c r="E3" s="2056"/>
      <c r="F3" s="2056"/>
      <c r="G3" s="2123"/>
      <c r="H3" s="2123"/>
      <c r="I3" s="2123"/>
      <c r="J3" s="2123"/>
      <c r="K3" s="2125"/>
      <c r="L3" s="2126"/>
      <c r="M3" s="2127"/>
      <c r="N3" s="2127"/>
      <c r="O3" s="2127"/>
      <c r="P3" s="1559"/>
      <c r="Q3" s="1559"/>
      <c r="R3" s="1559"/>
      <c r="S3" s="1559"/>
      <c r="T3" s="1559"/>
      <c r="U3" s="1559"/>
      <c r="V3" s="1559"/>
      <c r="W3" s="1559"/>
      <c r="X3" s="1559"/>
      <c r="Y3" s="1559"/>
      <c r="Z3" s="1559"/>
      <c r="AA3" s="1559"/>
      <c r="AB3" s="426"/>
      <c r="AC3" s="426"/>
    </row>
    <row r="4" spans="1:29" s="1331" customFormat="1" ht="28.5" customHeight="1">
      <c r="A4" s="509" t="s">
        <v>514</v>
      </c>
      <c r="B4" s="425" t="e">
        <f>IF(B43="单位面积地价",C45,ROUND(B2*10000/'数据-汇总表'!D3,0))</f>
        <v>#DIV/0!</v>
      </c>
      <c r="C4" s="2056"/>
      <c r="D4" s="2056"/>
      <c r="E4" s="2056"/>
      <c r="F4" s="2056"/>
      <c r="G4" s="2123"/>
      <c r="H4" s="2123"/>
      <c r="I4" s="2123"/>
      <c r="J4" s="2123"/>
      <c r="K4" s="2125"/>
      <c r="L4" s="2126"/>
      <c r="M4" s="2127"/>
      <c r="N4" s="2127"/>
      <c r="O4" s="2127"/>
      <c r="P4" s="1559"/>
      <c r="Q4" s="1559"/>
      <c r="R4" s="1559"/>
      <c r="S4" s="1559"/>
      <c r="T4" s="1559"/>
      <c r="U4" s="1559"/>
      <c r="V4" s="1559"/>
      <c r="W4" s="1559"/>
      <c r="X4" s="1559"/>
      <c r="Y4" s="1559"/>
      <c r="Z4" s="1559"/>
      <c r="AA4" s="1559"/>
      <c r="AB4" s="1559"/>
      <c r="AC4" s="426"/>
    </row>
    <row r="5" spans="1:29" s="1331" customFormat="1" ht="28.5" customHeight="1" thickBot="1">
      <c r="A5" s="427"/>
      <c r="B5" s="428" t="e">
        <f>ROUND(B2/('数据-汇总表'!D3/666.67),0)</f>
        <v>#DIV/0!</v>
      </c>
      <c r="C5" s="429" t="s">
        <v>462</v>
      </c>
      <c r="D5" s="2056"/>
      <c r="E5" s="2056"/>
      <c r="F5" s="2056"/>
      <c r="G5" s="2123"/>
      <c r="H5" s="2123"/>
      <c r="I5" s="2123"/>
      <c r="J5" s="2123"/>
      <c r="K5" s="2125"/>
      <c r="L5" s="2126"/>
      <c r="M5" s="2127"/>
      <c r="N5" s="2127"/>
      <c r="O5" s="2127"/>
      <c r="P5" s="1559"/>
      <c r="Q5" s="1559"/>
      <c r="R5" s="1559"/>
      <c r="S5" s="1559"/>
      <c r="T5" s="1559"/>
      <c r="U5" s="1559"/>
      <c r="V5" s="1559"/>
      <c r="W5" s="1559"/>
      <c r="X5" s="1559"/>
      <c r="Y5" s="1559"/>
      <c r="Z5" s="1559"/>
      <c r="AA5" s="1559"/>
      <c r="AB5" s="1561"/>
      <c r="AC5" s="426"/>
    </row>
    <row r="6" spans="1:29" ht="15">
      <c r="A6" s="510" t="s">
        <v>515</v>
      </c>
      <c r="B6" s="511"/>
      <c r="C6" s="3469" t="s">
        <v>516</v>
      </c>
      <c r="D6" s="3470"/>
      <c r="E6" s="3493" t="s">
        <v>517</v>
      </c>
      <c r="F6" s="3494"/>
      <c r="G6" s="3469" t="s">
        <v>518</v>
      </c>
      <c r="H6" s="3470"/>
      <c r="I6" s="3469" t="s">
        <v>519</v>
      </c>
      <c r="J6" s="3470"/>
      <c r="K6" s="512" t="s">
        <v>520</v>
      </c>
      <c r="L6" s="2128"/>
      <c r="M6" s="2129"/>
      <c r="N6" s="2129"/>
      <c r="O6" s="2129"/>
      <c r="P6" s="3471" t="s">
        <v>521</v>
      </c>
      <c r="Q6" s="3472"/>
      <c r="R6" s="3457" t="s">
        <v>517</v>
      </c>
      <c r="S6" s="3458"/>
      <c r="T6" s="3457" t="s">
        <v>518</v>
      </c>
      <c r="U6" s="3458"/>
      <c r="V6" s="3477" t="s">
        <v>519</v>
      </c>
      <c r="W6" s="3477"/>
      <c r="X6" s="1562"/>
      <c r="Y6" s="3457" t="s">
        <v>521</v>
      </c>
      <c r="Z6" s="3458"/>
      <c r="AA6" s="3452" t="s">
        <v>517</v>
      </c>
      <c r="AB6" s="3453" t="s">
        <v>518</v>
      </c>
      <c r="AC6" s="3452" t="s">
        <v>519</v>
      </c>
    </row>
    <row r="7" spans="1:29" ht="15">
      <c r="A7" s="513"/>
      <c r="B7" s="514"/>
      <c r="C7" s="3480" t="s">
        <v>2923</v>
      </c>
      <c r="D7" s="3481"/>
      <c r="E7" s="3495" t="s">
        <v>2924</v>
      </c>
      <c r="F7" s="3496"/>
      <c r="G7" s="3480" t="s">
        <v>2925</v>
      </c>
      <c r="H7" s="3481"/>
      <c r="I7" s="3480" t="s">
        <v>2926</v>
      </c>
      <c r="J7" s="3481"/>
      <c r="K7" s="512"/>
      <c r="L7" s="2128"/>
      <c r="M7" s="2129"/>
      <c r="N7" s="2129"/>
      <c r="O7" s="2129"/>
      <c r="P7" s="3473"/>
      <c r="Q7" s="3474"/>
      <c r="R7" s="3459"/>
      <c r="S7" s="3460"/>
      <c r="T7" s="3459"/>
      <c r="U7" s="3460"/>
      <c r="V7" s="3477"/>
      <c r="W7" s="3477"/>
      <c r="X7" s="1562"/>
      <c r="Y7" s="3459"/>
      <c r="Z7" s="3460"/>
      <c r="AA7" s="3453"/>
      <c r="AB7" s="3453"/>
      <c r="AC7" s="3453"/>
    </row>
    <row r="8" spans="1:29" ht="15.75" thickBot="1">
      <c r="A8" s="515"/>
      <c r="B8" s="516"/>
      <c r="C8" s="3478" t="s">
        <v>2927</v>
      </c>
      <c r="D8" s="3479"/>
      <c r="E8" s="3497" t="s">
        <v>2927</v>
      </c>
      <c r="F8" s="3498"/>
      <c r="G8" s="3478" t="s">
        <v>2927</v>
      </c>
      <c r="H8" s="3479"/>
      <c r="I8" s="3478" t="s">
        <v>2927</v>
      </c>
      <c r="J8" s="3479"/>
      <c r="K8" s="512" t="s">
        <v>522</v>
      </c>
      <c r="L8" s="2128"/>
      <c r="M8" s="2129"/>
      <c r="N8" s="2129"/>
      <c r="O8" s="2129"/>
      <c r="P8" s="3475"/>
      <c r="Q8" s="3476"/>
      <c r="R8" s="3459"/>
      <c r="S8" s="3460"/>
      <c r="T8" s="3461"/>
      <c r="U8" s="3462"/>
      <c r="V8" s="3477"/>
      <c r="W8" s="3477"/>
      <c r="X8" s="1562"/>
      <c r="Y8" s="3461"/>
      <c r="Z8" s="3462"/>
      <c r="AA8" s="3454"/>
      <c r="AB8" s="3454"/>
      <c r="AC8" s="3454"/>
    </row>
    <row r="9" spans="1:29" s="1215" customFormat="1" ht="15.75" thickBot="1">
      <c r="A9" s="2933"/>
      <c r="B9" s="2940" t="s">
        <v>523</v>
      </c>
      <c r="C9" s="517">
        <f>'数据-取费表'!B2</f>
        <v>43035</v>
      </c>
      <c r="D9" s="518">
        <v>100</v>
      </c>
      <c r="E9" s="519"/>
      <c r="F9" s="520">
        <f>SUMIF(67:67,YEAR(E9)&amp;"-"&amp;INT((MONTH(E9)+2)/3),68:68)</f>
        <v>0</v>
      </c>
      <c r="G9" s="521"/>
      <c r="H9" s="518">
        <f>SUMIF(67:67,YEAR(G9)&amp;"-"&amp;INT((MONTH(G9)+2)/3),68:68)</f>
        <v>0</v>
      </c>
      <c r="I9" s="521"/>
      <c r="J9" s="518">
        <f>SUMIF(67:67,YEAR(I9)&amp;"-"&amp;INT((MONTH(I9)+2)/3),68:68)</f>
        <v>0</v>
      </c>
      <c r="K9" s="522"/>
      <c r="L9" s="2130"/>
      <c r="M9" s="2131"/>
      <c r="N9" s="2131"/>
      <c r="O9" s="2131"/>
      <c r="P9" s="3455" t="s">
        <v>524</v>
      </c>
      <c r="Q9" s="3464"/>
      <c r="R9" s="1563" t="s">
        <v>8</v>
      </c>
      <c r="S9" s="1564">
        <f t="shared" ref="S9:S17" si="0">F9</f>
        <v>0</v>
      </c>
      <c r="T9" s="1563" t="s">
        <v>8</v>
      </c>
      <c r="U9" s="1564">
        <f t="shared" ref="U9:U17" si="1">H9</f>
        <v>0</v>
      </c>
      <c r="V9" s="1563" t="s">
        <v>8</v>
      </c>
      <c r="W9" s="1564">
        <f t="shared" ref="W9:W17" si="2">J9</f>
        <v>0</v>
      </c>
      <c r="X9" s="1565"/>
      <c r="Y9" s="3455" t="s">
        <v>524</v>
      </c>
      <c r="Z9" s="3456"/>
      <c r="AA9" s="1566" t="e">
        <f>D9/F9</f>
        <v>#DIV/0!</v>
      </c>
      <c r="AB9" s="1566" t="e">
        <f>D9/H9</f>
        <v>#DIV/0!</v>
      </c>
      <c r="AC9" s="1566" t="e">
        <f>D9/J9</f>
        <v>#DIV/0!</v>
      </c>
    </row>
    <row r="10" spans="1:29" s="1215" customFormat="1" ht="15.75" thickBot="1">
      <c r="A10" s="2934"/>
      <c r="B10" s="2941" t="s">
        <v>525</v>
      </c>
      <c r="C10" s="523" t="s">
        <v>526</v>
      </c>
      <c r="D10" s="518">
        <v>100</v>
      </c>
      <c r="E10" s="523"/>
      <c r="F10" s="520">
        <f>SUMIF(70:70,E10,71:71)-SUMIF(70:70,C10,71:71)+100</f>
        <v>0</v>
      </c>
      <c r="G10" s="523"/>
      <c r="H10" s="518">
        <f>SUMIF(70:70,G10,71:71)-SUMIF(70:70,C10,71:71)+100</f>
        <v>0</v>
      </c>
      <c r="I10" s="523"/>
      <c r="J10" s="518">
        <f>SUMIF(70:70,I10,71:71)-SUMIF(70:70,C10,71:71)+100</f>
        <v>0</v>
      </c>
      <c r="K10" s="522"/>
      <c r="L10" s="2130"/>
      <c r="M10" s="2131"/>
      <c r="N10" s="2131"/>
      <c r="O10" s="2131"/>
      <c r="P10" s="3455" t="s">
        <v>527</v>
      </c>
      <c r="Q10" s="3456"/>
      <c r="R10" s="1563" t="s">
        <v>8</v>
      </c>
      <c r="S10" s="1564">
        <f t="shared" si="0"/>
        <v>0</v>
      </c>
      <c r="T10" s="1563" t="s">
        <v>8</v>
      </c>
      <c r="U10" s="1564">
        <f t="shared" si="1"/>
        <v>0</v>
      </c>
      <c r="V10" s="1563" t="s">
        <v>8</v>
      </c>
      <c r="W10" s="1564">
        <f t="shared" si="2"/>
        <v>0</v>
      </c>
      <c r="X10" s="1565"/>
      <c r="Y10" s="3455" t="s">
        <v>527</v>
      </c>
      <c r="Z10" s="3456"/>
      <c r="AA10" s="1566" t="e">
        <f t="shared" ref="AA10:AA42" si="3">D10/F10</f>
        <v>#DIV/0!</v>
      </c>
      <c r="AB10" s="1566" t="e">
        <f t="shared" ref="AB10:AB42" si="4">D10/H10</f>
        <v>#DIV/0!</v>
      </c>
      <c r="AC10" s="1566" t="e">
        <f t="shared" ref="AC10:AC42" si="5">D10/J10</f>
        <v>#DIV/0!</v>
      </c>
    </row>
    <row r="11" spans="1:29" s="1215" customFormat="1" ht="15">
      <c r="A11" s="2935"/>
      <c r="B11" s="2942" t="s">
        <v>2755</v>
      </c>
      <c r="C11" s="524"/>
      <c r="D11" s="249">
        <v>100</v>
      </c>
      <c r="E11" s="524"/>
      <c r="F11" s="249">
        <f>SUMIF(72:72,E11,73:73)-SUMIF(72:72,C11,73:73)+100</f>
        <v>100</v>
      </c>
      <c r="G11" s="524"/>
      <c r="H11" s="249">
        <f>SUMIF(72:72,G11,73:73)-SUMIF(72:72,C11,73:73)+100</f>
        <v>100</v>
      </c>
      <c r="I11" s="524"/>
      <c r="J11" s="249">
        <f>SUMIF(72:72,I11,73:73)-SUMIF(72:72,C11,73:73)+100</f>
        <v>100</v>
      </c>
      <c r="K11" s="522"/>
      <c r="L11" s="2130"/>
      <c r="M11" s="2131"/>
      <c r="N11" s="2131"/>
      <c r="O11" s="2132"/>
      <c r="P11" s="3463" t="s">
        <v>529</v>
      </c>
      <c r="Q11" s="1146" t="str">
        <f t="shared" ref="Q11:Q17" si="6">B11</f>
        <v>用途</v>
      </c>
      <c r="R11" s="1563" t="s">
        <v>8</v>
      </c>
      <c r="S11" s="1564">
        <f t="shared" si="0"/>
        <v>100</v>
      </c>
      <c r="T11" s="1563" t="s">
        <v>8</v>
      </c>
      <c r="U11" s="1564">
        <f t="shared" si="1"/>
        <v>100</v>
      </c>
      <c r="V11" s="1563" t="s">
        <v>8</v>
      </c>
      <c r="W11" s="1564">
        <f t="shared" si="2"/>
        <v>100</v>
      </c>
      <c r="X11" s="1565"/>
      <c r="Y11" s="3420" t="s">
        <v>530</v>
      </c>
      <c r="Z11" s="1145" t="str">
        <f t="shared" ref="Z11:Z17" si="7">Q11</f>
        <v>用途</v>
      </c>
      <c r="AA11" s="1566">
        <f t="shared" si="3"/>
        <v>1</v>
      </c>
      <c r="AB11" s="1566">
        <f t="shared" si="4"/>
        <v>1</v>
      </c>
      <c r="AC11" s="1566">
        <f t="shared" si="5"/>
        <v>1</v>
      </c>
    </row>
    <row r="12" spans="1:29" s="1333" customFormat="1" ht="27">
      <c r="A12" s="2936"/>
      <c r="B12" s="2941" t="s">
        <v>2756</v>
      </c>
      <c r="C12" s="526"/>
      <c r="D12" s="250">
        <v>100</v>
      </c>
      <c r="E12" s="526"/>
      <c r="F12" s="250">
        <f>ROUND(100/'数据-取费表'!G16,0)</f>
        <v>100</v>
      </c>
      <c r="G12" s="526"/>
      <c r="H12" s="250">
        <f>ROUND(100/'数据-取费表'!G16,0)</f>
        <v>100</v>
      </c>
      <c r="I12" s="526"/>
      <c r="J12" s="250">
        <f>ROUND(100/'数据-取费表'!G16,0)</f>
        <v>100</v>
      </c>
      <c r="K12" s="527"/>
      <c r="L12" s="2133"/>
      <c r="M12" s="2173"/>
      <c r="N12" s="2173"/>
      <c r="O12" s="2134"/>
      <c r="P12" s="3463"/>
      <c r="Q12" s="1146" t="str">
        <f t="shared" si="6"/>
        <v>土地使用年限（年）</v>
      </c>
      <c r="R12" s="1563" t="s">
        <v>8</v>
      </c>
      <c r="S12" s="1564">
        <f t="shared" si="0"/>
        <v>100</v>
      </c>
      <c r="T12" s="1563" t="s">
        <v>8</v>
      </c>
      <c r="U12" s="1564">
        <f t="shared" si="1"/>
        <v>100</v>
      </c>
      <c r="V12" s="1563" t="s">
        <v>8</v>
      </c>
      <c r="W12" s="1564">
        <f t="shared" si="2"/>
        <v>100</v>
      </c>
      <c r="X12" s="1565"/>
      <c r="Y12" s="3420"/>
      <c r="Z12" s="1145" t="str">
        <f t="shared" si="7"/>
        <v>土地使用年限（年）</v>
      </c>
      <c r="AA12" s="1566">
        <f t="shared" si="3"/>
        <v>1</v>
      </c>
      <c r="AB12" s="1566">
        <f t="shared" si="4"/>
        <v>1</v>
      </c>
      <c r="AC12" s="1566">
        <f t="shared" si="5"/>
        <v>1</v>
      </c>
    </row>
    <row r="13" spans="1:29" ht="15">
      <c r="A13" s="2937"/>
      <c r="B13" s="2941" t="s">
        <v>2757</v>
      </c>
      <c r="C13" s="529"/>
      <c r="D13" s="250">
        <v>100</v>
      </c>
      <c r="E13" s="529"/>
      <c r="F13" s="250" t="e">
        <f>LOOKUP(E13,77:77,78:78)-LOOKUP(C13,77:77,78:78)+100</f>
        <v>#N/A</v>
      </c>
      <c r="G13" s="530"/>
      <c r="H13" s="250" t="e">
        <f>LOOKUP(G13,77:77,78:78)-LOOKUP(C13,77:77,78:78)+100</f>
        <v>#N/A</v>
      </c>
      <c r="I13" s="529"/>
      <c r="J13" s="250" t="e">
        <f>LOOKUP(I13,77:77,78:78)-LOOKUP(C13,77:77,78:78)+100</f>
        <v>#N/A</v>
      </c>
      <c r="K13" s="531"/>
      <c r="L13" s="2135"/>
      <c r="M13" s="2129"/>
      <c r="N13" s="2129"/>
      <c r="O13" s="2136"/>
      <c r="P13" s="3463"/>
      <c r="Q13" s="1146" t="str">
        <f t="shared" si="6"/>
        <v>容积率</v>
      </c>
      <c r="R13" s="1563" t="s">
        <v>8</v>
      </c>
      <c r="S13" s="1564" t="e">
        <f t="shared" si="0"/>
        <v>#N/A</v>
      </c>
      <c r="T13" s="1563" t="s">
        <v>8</v>
      </c>
      <c r="U13" s="1564" t="e">
        <f t="shared" si="1"/>
        <v>#N/A</v>
      </c>
      <c r="V13" s="1563" t="s">
        <v>8</v>
      </c>
      <c r="W13" s="1564" t="e">
        <f t="shared" si="2"/>
        <v>#N/A</v>
      </c>
      <c r="X13" s="1565"/>
      <c r="Y13" s="3420"/>
      <c r="Z13" s="1145" t="str">
        <f t="shared" si="7"/>
        <v>容积率</v>
      </c>
      <c r="AA13" s="1566" t="e">
        <f t="shared" si="3"/>
        <v>#N/A</v>
      </c>
      <c r="AB13" s="1566" t="e">
        <f t="shared" si="4"/>
        <v>#N/A</v>
      </c>
      <c r="AC13" s="1566" t="e">
        <f t="shared" si="5"/>
        <v>#N/A</v>
      </c>
    </row>
    <row r="14" spans="1:29" s="1215" customFormat="1" ht="15">
      <c r="A14" s="2938"/>
      <c r="B14" s="2944">
        <v>111</v>
      </c>
      <c r="C14" s="526"/>
      <c r="D14" s="534">
        <v>100</v>
      </c>
      <c r="E14" s="537"/>
      <c r="F14" s="250">
        <f>SUMIF(79:79,E14,80:80)-SUMIF(79:79,C14,80:80)+100</f>
        <v>100</v>
      </c>
      <c r="G14" s="538"/>
      <c r="H14" s="250">
        <f>SUMIF(79:79,G14,80:80)-SUMIF(79:79,C14,80:80)+100</f>
        <v>100</v>
      </c>
      <c r="I14" s="537"/>
      <c r="J14" s="250">
        <f>SUMIF(79:79,I14,80:80)-SUMIF(79:79,C14,80:80)+100</f>
        <v>100</v>
      </c>
      <c r="K14" s="527"/>
      <c r="L14" s="2130"/>
      <c r="M14" s="2131"/>
      <c r="N14" s="2131"/>
      <c r="O14" s="2132"/>
      <c r="P14" s="3463"/>
      <c r="Q14" s="1146">
        <f t="shared" si="6"/>
        <v>111</v>
      </c>
      <c r="R14" s="1563" t="s">
        <v>8</v>
      </c>
      <c r="S14" s="1564">
        <f t="shared" si="0"/>
        <v>100</v>
      </c>
      <c r="T14" s="1563" t="s">
        <v>8</v>
      </c>
      <c r="U14" s="1564">
        <f t="shared" si="1"/>
        <v>100</v>
      </c>
      <c r="V14" s="1563" t="s">
        <v>8</v>
      </c>
      <c r="W14" s="1564">
        <f t="shared" si="2"/>
        <v>100</v>
      </c>
      <c r="X14" s="1565"/>
      <c r="Y14" s="3420"/>
      <c r="Z14" s="1145">
        <f t="shared" si="7"/>
        <v>111</v>
      </c>
      <c r="AA14" s="1566">
        <f>D14/F14</f>
        <v>1</v>
      </c>
      <c r="AB14" s="1566">
        <f>D14/H14</f>
        <v>1</v>
      </c>
      <c r="AC14" s="1566">
        <f>D14/J14</f>
        <v>1</v>
      </c>
    </row>
    <row r="15" spans="1:29" ht="15">
      <c r="A15" s="2938"/>
      <c r="B15" s="2944">
        <v>111</v>
      </c>
      <c r="C15" s="535"/>
      <c r="D15" s="536">
        <v>100</v>
      </c>
      <c r="E15" s="537"/>
      <c r="F15" s="250">
        <f>SUMIF(81:81,E15,82:82)-SUMIF(81:81,C15,82:82)+100</f>
        <v>100</v>
      </c>
      <c r="G15" s="538"/>
      <c r="H15" s="536">
        <f>SUMIF(81:81,G15,82:82)-SUMIF(81:81,C15,82:82)+100</f>
        <v>100</v>
      </c>
      <c r="I15" s="537"/>
      <c r="J15" s="536">
        <f>SUMIF(81:81,I15,82:82)-SUMIF(81:81,C15,82:82)+100</f>
        <v>100</v>
      </c>
      <c r="K15" s="527"/>
      <c r="L15" s="2137"/>
      <c r="M15" s="2129"/>
      <c r="N15" s="2129"/>
      <c r="O15" s="2136"/>
      <c r="P15" s="3463"/>
      <c r="Q15" s="1146">
        <f t="shared" si="6"/>
        <v>111</v>
      </c>
      <c r="R15" s="1563" t="s">
        <v>8</v>
      </c>
      <c r="S15" s="1564">
        <f t="shared" si="0"/>
        <v>100</v>
      </c>
      <c r="T15" s="1563" t="s">
        <v>8</v>
      </c>
      <c r="U15" s="1564">
        <f t="shared" si="1"/>
        <v>100</v>
      </c>
      <c r="V15" s="1563" t="s">
        <v>8</v>
      </c>
      <c r="W15" s="1564">
        <f t="shared" si="2"/>
        <v>100</v>
      </c>
      <c r="X15" s="1565"/>
      <c r="Y15" s="3420"/>
      <c r="Z15" s="1145">
        <f t="shared" si="7"/>
        <v>111</v>
      </c>
      <c r="AA15" s="1566">
        <f t="shared" si="3"/>
        <v>1</v>
      </c>
      <c r="AB15" s="1566">
        <f t="shared" si="4"/>
        <v>1</v>
      </c>
      <c r="AC15" s="1566">
        <f t="shared" si="5"/>
        <v>1</v>
      </c>
    </row>
    <row r="16" spans="1:29" ht="15.75" thickBot="1">
      <c r="A16" s="2939"/>
      <c r="B16" s="2945">
        <v>111</v>
      </c>
      <c r="C16" s="541"/>
      <c r="D16" s="542">
        <v>100</v>
      </c>
      <c r="E16" s="537"/>
      <c r="F16" s="542">
        <f>SUMIF(83:83,E16,84:84)-SUMIF(83:83,C16,84:84)+100</f>
        <v>100</v>
      </c>
      <c r="G16" s="538"/>
      <c r="H16" s="542">
        <f>SUMIF(83:83,G16,84:84)-SUMIF(83:83,C16,84:84)+100</f>
        <v>100</v>
      </c>
      <c r="I16" s="537"/>
      <c r="J16" s="542">
        <f>SUMIF(83:83,I16,84:84)-SUMIF(83:83,C16,84:84)+100</f>
        <v>100</v>
      </c>
      <c r="K16" s="527"/>
      <c r="L16" s="2137"/>
      <c r="M16" s="2129"/>
      <c r="N16" s="2129"/>
      <c r="O16" s="2136"/>
      <c r="P16" s="3463"/>
      <c r="Q16" s="1146">
        <f t="shared" si="6"/>
        <v>111</v>
      </c>
      <c r="R16" s="1563" t="s">
        <v>8</v>
      </c>
      <c r="S16" s="1564">
        <f t="shared" si="0"/>
        <v>100</v>
      </c>
      <c r="T16" s="1563" t="s">
        <v>8</v>
      </c>
      <c r="U16" s="1564">
        <f t="shared" si="1"/>
        <v>100</v>
      </c>
      <c r="V16" s="1563" t="s">
        <v>8</v>
      </c>
      <c r="W16" s="1564">
        <f t="shared" si="2"/>
        <v>100</v>
      </c>
      <c r="X16" s="1565"/>
      <c r="Y16" s="3420"/>
      <c r="Z16" s="1145">
        <f t="shared" si="7"/>
        <v>111</v>
      </c>
      <c r="AA16" s="1566">
        <f t="shared" si="3"/>
        <v>1</v>
      </c>
      <c r="AB16" s="1566">
        <f t="shared" si="4"/>
        <v>1</v>
      </c>
      <c r="AC16" s="1566">
        <f t="shared" si="5"/>
        <v>1</v>
      </c>
    </row>
    <row r="17" spans="1:29" ht="57">
      <c r="A17" s="2931" t="s">
        <v>2753</v>
      </c>
      <c r="B17" s="165" t="s">
        <v>592</v>
      </c>
      <c r="C17" s="916" t="str">
        <f>估价对象房地状况!G15</f>
        <v>估价对象位于XX开发区，园区建设成熟度XX，产业集聚程度XX</v>
      </c>
      <c r="D17" s="545">
        <v>100</v>
      </c>
      <c r="E17" s="546"/>
      <c r="F17" s="545">
        <f>SUMIF(85:85,E18,86:86)-SUMIF(85:85,C18,86:86)+100</f>
        <v>100</v>
      </c>
      <c r="G17" s="546"/>
      <c r="H17" s="545">
        <f>SUMIF(85:85,G18,86:86)-SUMIF(85:85,C18,86:86)+100</f>
        <v>100</v>
      </c>
      <c r="I17" s="548"/>
      <c r="J17" s="545">
        <f>SUMIF(85:85,I18,86:86)-SUMIF(85:85,C18,86:86)+100</f>
        <v>100</v>
      </c>
      <c r="K17" s="531"/>
      <c r="L17" s="2137"/>
      <c r="M17" s="2129"/>
      <c r="N17" s="2129"/>
      <c r="O17" s="2136"/>
      <c r="P17" s="3465" t="s">
        <v>534</v>
      </c>
      <c r="Q17" s="1567" t="str">
        <f t="shared" si="6"/>
        <v>产业集聚程度</v>
      </c>
      <c r="R17" s="1568" t="s">
        <v>8</v>
      </c>
      <c r="S17" s="1569">
        <f t="shared" si="0"/>
        <v>100</v>
      </c>
      <c r="T17" s="1568" t="s">
        <v>8</v>
      </c>
      <c r="U17" s="1569">
        <f t="shared" si="1"/>
        <v>100</v>
      </c>
      <c r="V17" s="1568" t="s">
        <v>8</v>
      </c>
      <c r="W17" s="1569">
        <f t="shared" si="2"/>
        <v>100</v>
      </c>
      <c r="X17" s="1562"/>
      <c r="Y17" s="3465" t="s">
        <v>534</v>
      </c>
      <c r="Z17" s="1570" t="str">
        <f t="shared" si="7"/>
        <v>产业集聚程度</v>
      </c>
      <c r="AA17" s="1571">
        <f t="shared" si="3"/>
        <v>1</v>
      </c>
      <c r="AB17" s="1571">
        <f t="shared" si="4"/>
        <v>1</v>
      </c>
      <c r="AC17" s="1571">
        <f t="shared" si="5"/>
        <v>1</v>
      </c>
    </row>
    <row r="18" spans="1:29" ht="15">
      <c r="A18" s="528"/>
      <c r="B18" s="865"/>
      <c r="C18" s="572"/>
      <c r="D18" s="551"/>
      <c r="E18" s="550"/>
      <c r="F18" s="551"/>
      <c r="G18" s="550"/>
      <c r="H18" s="555"/>
      <c r="I18" s="550"/>
      <c r="J18" s="551"/>
      <c r="K18" s="527"/>
      <c r="L18" s="2137"/>
      <c r="M18" s="2129"/>
      <c r="N18" s="2129"/>
      <c r="O18" s="2136"/>
      <c r="P18" s="3466"/>
      <c r="Q18" s="1567"/>
      <c r="R18" s="1568"/>
      <c r="S18" s="1569"/>
      <c r="T18" s="1568"/>
      <c r="U18" s="1569"/>
      <c r="V18" s="1568"/>
      <c r="W18" s="1569"/>
      <c r="X18" s="1562"/>
      <c r="Y18" s="3466"/>
      <c r="Z18" s="1570"/>
      <c r="AA18" s="1571">
        <v>1</v>
      </c>
      <c r="AB18" s="1571">
        <v>1</v>
      </c>
      <c r="AC18" s="1571">
        <v>1</v>
      </c>
    </row>
    <row r="19" spans="1:29" ht="85.5">
      <c r="A19" s="528"/>
      <c r="B19" s="867" t="s">
        <v>537</v>
      </c>
      <c r="C19" s="868" t="str">
        <f>估价对象房地状况!G16</f>
        <v>估价对象周边道路状况、公共交通通达情况、停车便捷程度，综合评价交通便捷度较好</v>
      </c>
      <c r="D19" s="555">
        <v>100</v>
      </c>
      <c r="E19" s="558"/>
      <c r="F19" s="561">
        <f>SUMIF(87:87,E20,88:88)-SUMIF(87:87,C20,88:88)+100</f>
        <v>100</v>
      </c>
      <c r="G19" s="558"/>
      <c r="H19" s="561">
        <f>SUMIF(87:87,G20,88:88)-SUMIF(87:87,C20,88:88)+100</f>
        <v>100</v>
      </c>
      <c r="I19" s="560"/>
      <c r="J19" s="555">
        <f>SUMIF(87:87,I20,88:88)-SUMIF(87:87,C20,88:88)+100</f>
        <v>100</v>
      </c>
      <c r="K19" s="531"/>
      <c r="L19" s="2137"/>
      <c r="M19" s="2129"/>
      <c r="N19" s="2129"/>
      <c r="O19" s="2136"/>
      <c r="P19" s="3466"/>
      <c r="Q19" s="1567" t="str">
        <f>B19</f>
        <v>交通便捷度</v>
      </c>
      <c r="R19" s="1568" t="s">
        <v>8</v>
      </c>
      <c r="S19" s="1569">
        <f>F19</f>
        <v>100</v>
      </c>
      <c r="T19" s="1568" t="s">
        <v>8</v>
      </c>
      <c r="U19" s="1569">
        <f>H19</f>
        <v>100</v>
      </c>
      <c r="V19" s="1568" t="s">
        <v>8</v>
      </c>
      <c r="W19" s="1569">
        <f>J19</f>
        <v>100</v>
      </c>
      <c r="X19" s="1562"/>
      <c r="Y19" s="3466"/>
      <c r="Z19" s="1570" t="str">
        <f>Q19</f>
        <v>交通便捷度</v>
      </c>
      <c r="AA19" s="1571">
        <f t="shared" si="3"/>
        <v>1</v>
      </c>
      <c r="AB19" s="1571">
        <f t="shared" si="4"/>
        <v>1</v>
      </c>
      <c r="AC19" s="1571">
        <f t="shared" si="5"/>
        <v>1</v>
      </c>
    </row>
    <row r="20" spans="1:29" ht="15">
      <c r="A20" s="528"/>
      <c r="B20" s="917"/>
      <c r="C20" s="572"/>
      <c r="D20" s="551"/>
      <c r="E20" s="552"/>
      <c r="F20" s="551"/>
      <c r="G20" s="552"/>
      <c r="H20" s="551"/>
      <c r="I20" s="554"/>
      <c r="J20" s="551"/>
      <c r="K20" s="527"/>
      <c r="L20" s="2137"/>
      <c r="M20" s="2129"/>
      <c r="N20" s="2129"/>
      <c r="O20" s="2136"/>
      <c r="P20" s="3466"/>
      <c r="Q20" s="1567"/>
      <c r="R20" s="1568"/>
      <c r="S20" s="1569"/>
      <c r="T20" s="1568"/>
      <c r="U20" s="1569"/>
      <c r="V20" s="1568"/>
      <c r="W20" s="1569"/>
      <c r="X20" s="1562"/>
      <c r="Y20" s="3466"/>
      <c r="Z20" s="1570"/>
      <c r="AA20" s="1571">
        <v>1</v>
      </c>
      <c r="AB20" s="1571">
        <v>1</v>
      </c>
      <c r="AC20" s="1571">
        <v>1</v>
      </c>
    </row>
    <row r="21" spans="1:29" ht="27">
      <c r="A21" s="513"/>
      <c r="B21" s="867" t="s">
        <v>538</v>
      </c>
      <c r="C21" s="868">
        <f>估价对象房地状况!G17</f>
        <v>0</v>
      </c>
      <c r="D21" s="555">
        <v>100</v>
      </c>
      <c r="E21" s="558"/>
      <c r="F21" s="559">
        <f>SUMIF(89:89,E22,90:90)-SUMIF(89:89,C22,90:90)+100</f>
        <v>100</v>
      </c>
      <c r="G21" s="560"/>
      <c r="H21" s="559">
        <f>SUMIF(89:89,G22,90:90)-SUMIF(89:89,C22,90:90)+100</f>
        <v>100</v>
      </c>
      <c r="I21" s="560"/>
      <c r="J21" s="559">
        <f>SUMIF(89:89,I22,90:90)-SUMIF(89:89,C22,90:90)+100</f>
        <v>100</v>
      </c>
      <c r="K21" s="1003"/>
      <c r="L21" s="2137"/>
      <c r="M21" s="2129"/>
      <c r="N21" s="2129"/>
      <c r="O21" s="2136"/>
      <c r="P21" s="3466"/>
      <c r="Q21" s="1567" t="str">
        <f t="shared" ref="Q21:Q35" si="8">B21</f>
        <v>区域土地利用方向</v>
      </c>
      <c r="R21" s="1568" t="s">
        <v>8</v>
      </c>
      <c r="S21" s="1569">
        <f>F21</f>
        <v>100</v>
      </c>
      <c r="T21" s="1568" t="s">
        <v>8</v>
      </c>
      <c r="U21" s="1569">
        <f>H21</f>
        <v>100</v>
      </c>
      <c r="V21" s="1568" t="s">
        <v>8</v>
      </c>
      <c r="W21" s="1569">
        <f>J21</f>
        <v>100</v>
      </c>
      <c r="X21" s="1562"/>
      <c r="Y21" s="3466"/>
      <c r="Z21" s="1570" t="str">
        <f>Q21</f>
        <v>区域土地利用方向</v>
      </c>
      <c r="AA21" s="1571">
        <f t="shared" si="3"/>
        <v>1</v>
      </c>
      <c r="AB21" s="1571">
        <f t="shared" si="4"/>
        <v>1</v>
      </c>
      <c r="AC21" s="1571">
        <f t="shared" si="5"/>
        <v>1</v>
      </c>
    </row>
    <row r="22" spans="1:29" ht="15">
      <c r="A22" s="513"/>
      <c r="B22" s="591"/>
      <c r="C22" s="572"/>
      <c r="D22" s="551"/>
      <c r="E22" s="552"/>
      <c r="F22" s="553"/>
      <c r="G22" s="554"/>
      <c r="H22" s="553"/>
      <c r="I22" s="554"/>
      <c r="J22" s="553"/>
      <c r="K22" s="1343"/>
      <c r="L22" s="2137"/>
      <c r="M22" s="2129"/>
      <c r="N22" s="2129"/>
      <c r="O22" s="2136"/>
      <c r="P22" s="3466"/>
      <c r="Q22" s="1567"/>
      <c r="R22" s="1568"/>
      <c r="S22" s="1569"/>
      <c r="T22" s="1568"/>
      <c r="U22" s="1569"/>
      <c r="V22" s="1568"/>
      <c r="W22" s="1569"/>
      <c r="X22" s="1562"/>
      <c r="Y22" s="3466"/>
      <c r="Z22" s="1570"/>
      <c r="AA22" s="1571"/>
      <c r="AB22" s="1571"/>
      <c r="AC22" s="1571"/>
    </row>
    <row r="23" spans="1:29" ht="71.25">
      <c r="A23" s="513"/>
      <c r="B23" s="917" t="s">
        <v>593</v>
      </c>
      <c r="C23" s="868" t="str">
        <f>估价对象房地状况!G18</f>
        <v>该园区内是否有污染型企业，绿化情况，卫生条件，整体环境状况判断</v>
      </c>
      <c r="D23" s="555">
        <v>100</v>
      </c>
      <c r="E23" s="558"/>
      <c r="F23" s="555">
        <f>SUMIF(91:91,E24,92:92)-SUMIF(91:91,C24,92:92)+100</f>
        <v>100</v>
      </c>
      <c r="G23" s="558"/>
      <c r="H23" s="555">
        <f>SUMIF(91:91,G24,92:92)-SUMIF(91:91,C24,92:92)+100</f>
        <v>100</v>
      </c>
      <c r="I23" s="560"/>
      <c r="J23" s="555">
        <f>SUMIF(91:91,I24,92:92)-SUMIF(91:91,C24,92:92)+100</f>
        <v>100</v>
      </c>
      <c r="K23" s="531"/>
      <c r="L23" s="2137"/>
      <c r="M23" s="2129"/>
      <c r="N23" s="2129"/>
      <c r="O23" s="2136"/>
      <c r="P23" s="3466"/>
      <c r="Q23" s="1567" t="str">
        <f t="shared" si="8"/>
        <v>环境状况</v>
      </c>
      <c r="R23" s="1568" t="s">
        <v>8</v>
      </c>
      <c r="S23" s="1569">
        <f>F23</f>
        <v>100</v>
      </c>
      <c r="T23" s="1568" t="s">
        <v>8</v>
      </c>
      <c r="U23" s="1569">
        <f>H23</f>
        <v>100</v>
      </c>
      <c r="V23" s="1568" t="s">
        <v>8</v>
      </c>
      <c r="W23" s="1569">
        <f>J23</f>
        <v>100</v>
      </c>
      <c r="X23" s="1562"/>
      <c r="Y23" s="3466"/>
      <c r="Z23" s="1570" t="str">
        <f>Q23</f>
        <v>环境状况</v>
      </c>
      <c r="AA23" s="1571">
        <f t="shared" si="3"/>
        <v>1</v>
      </c>
      <c r="AB23" s="1571">
        <f t="shared" si="4"/>
        <v>1</v>
      </c>
      <c r="AC23" s="1571">
        <f t="shared" si="5"/>
        <v>1</v>
      </c>
    </row>
    <row r="24" spans="1:29" ht="15">
      <c r="A24" s="513"/>
      <c r="B24" s="591"/>
      <c r="C24" s="572"/>
      <c r="D24" s="551"/>
      <c r="E24" s="550"/>
      <c r="F24" s="551"/>
      <c r="G24" s="550"/>
      <c r="H24" s="551"/>
      <c r="I24" s="572"/>
      <c r="J24" s="551"/>
      <c r="K24" s="527"/>
      <c r="L24" s="2137"/>
      <c r="M24" s="2129"/>
      <c r="N24" s="2129"/>
      <c r="O24" s="2136"/>
      <c r="P24" s="3466"/>
      <c r="Q24" s="1567"/>
      <c r="R24" s="1568"/>
      <c r="S24" s="1569"/>
      <c r="T24" s="1568"/>
      <c r="U24" s="1569"/>
      <c r="V24" s="1568"/>
      <c r="W24" s="1569"/>
      <c r="X24" s="1562"/>
      <c r="Y24" s="3466"/>
      <c r="Z24" s="1570"/>
      <c r="AA24" s="1571">
        <v>1</v>
      </c>
      <c r="AB24" s="1571">
        <v>1</v>
      </c>
      <c r="AC24" s="1571">
        <v>1</v>
      </c>
    </row>
    <row r="25" spans="1:29" s="1215" customFormat="1" ht="42.75">
      <c r="A25" s="573"/>
      <c r="B25" s="2612" t="s">
        <v>2545</v>
      </c>
      <c r="C25" s="868" t="str">
        <f>估价对象房地状况!G19</f>
        <v>估价对象所在区域公共配套设施齐备情况</v>
      </c>
      <c r="D25" s="555">
        <v>100</v>
      </c>
      <c r="E25" s="558"/>
      <c r="F25" s="555">
        <f>SUMIF(93:93,E26,94:94)-SUMIF(93:93,C26,94:94)+100</f>
        <v>100</v>
      </c>
      <c r="G25" s="558"/>
      <c r="H25" s="555">
        <f>SUMIF(93:93,G26,94:94)-SUMIF(93:93,C26,94:94)+100</f>
        <v>100</v>
      </c>
      <c r="I25" s="560"/>
      <c r="J25" s="555">
        <f>SUMIF(93:93,I26,94:94)-SUMIF(93:93,C26,94:94)+100</f>
        <v>100</v>
      </c>
      <c r="K25" s="531"/>
      <c r="L25" s="2130"/>
      <c r="M25" s="2131"/>
      <c r="N25" s="2131"/>
      <c r="O25" s="2132"/>
      <c r="P25" s="3466"/>
      <c r="Q25" s="1146" t="str">
        <f t="shared" si="8"/>
        <v>公共配套设施</v>
      </c>
      <c r="R25" s="1563" t="s">
        <v>8</v>
      </c>
      <c r="S25" s="1564">
        <f>F25</f>
        <v>100</v>
      </c>
      <c r="T25" s="1563" t="s">
        <v>8</v>
      </c>
      <c r="U25" s="1564">
        <f>H25</f>
        <v>100</v>
      </c>
      <c r="V25" s="1563" t="s">
        <v>8</v>
      </c>
      <c r="W25" s="1564">
        <f>J25</f>
        <v>100</v>
      </c>
      <c r="X25" s="1565"/>
      <c r="Y25" s="3466"/>
      <c r="Z25" s="1145" t="str">
        <f>Q25</f>
        <v>公共配套设施</v>
      </c>
      <c r="AA25" s="1571">
        <f>D25/F25</f>
        <v>1</v>
      </c>
      <c r="AB25" s="1571">
        <f>D25/H25</f>
        <v>1</v>
      </c>
      <c r="AC25" s="1571">
        <f>D25/J25</f>
        <v>1</v>
      </c>
    </row>
    <row r="26" spans="1:29" s="1215" customFormat="1" ht="15">
      <c r="A26" s="573"/>
      <c r="B26" s="591"/>
      <c r="C26" s="2611"/>
      <c r="D26" s="551"/>
      <c r="E26" s="550"/>
      <c r="F26" s="551"/>
      <c r="G26" s="550"/>
      <c r="H26" s="551"/>
      <c r="I26" s="572"/>
      <c r="J26" s="551"/>
      <c r="K26" s="527"/>
      <c r="L26" s="2130"/>
      <c r="M26" s="2131"/>
      <c r="N26" s="2131"/>
      <c r="O26" s="2132"/>
      <c r="P26" s="3466"/>
      <c r="Q26" s="1146"/>
      <c r="R26" s="1563"/>
      <c r="S26" s="1564"/>
      <c r="T26" s="1563"/>
      <c r="U26" s="1564"/>
      <c r="V26" s="1563"/>
      <c r="W26" s="1564"/>
      <c r="X26" s="1565"/>
      <c r="Y26" s="3466"/>
      <c r="Z26" s="1145"/>
      <c r="AA26" s="1566">
        <v>1</v>
      </c>
      <c r="AB26" s="1566">
        <v>1</v>
      </c>
      <c r="AC26" s="1566">
        <v>1</v>
      </c>
    </row>
    <row r="27" spans="1:29" s="1215" customFormat="1" ht="28.5">
      <c r="A27" s="573"/>
      <c r="B27" s="2612" t="s">
        <v>2546</v>
      </c>
      <c r="C27" s="868" t="str">
        <f>估价对象房地状况!G20</f>
        <v>估价对象所在区域基础设施水平</v>
      </c>
      <c r="D27" s="555">
        <v>100</v>
      </c>
      <c r="E27" s="558"/>
      <c r="F27" s="555">
        <f>SUMIF(95:95,E28,96:96)-SUMIF(95:95,C28,96:96)+100</f>
        <v>100</v>
      </c>
      <c r="G27" s="558"/>
      <c r="H27" s="555">
        <f>SUMIF(95:95,G28,96:96)-SUMIF(95:95,C28,96:96)+100</f>
        <v>100</v>
      </c>
      <c r="I27" s="560"/>
      <c r="J27" s="555">
        <f>SUMIF(95:95,I28,96:96)-SUMIF(95:95,C28,96:96)+100</f>
        <v>100</v>
      </c>
      <c r="K27" s="531"/>
      <c r="L27" s="2130"/>
      <c r="M27" s="2131"/>
      <c r="N27" s="2131"/>
      <c r="O27" s="2132"/>
      <c r="P27" s="3466"/>
      <c r="Q27" s="2597" t="str">
        <f t="shared" ref="Q27" si="9">B27</f>
        <v>基础设施水平</v>
      </c>
      <c r="R27" s="1563" t="s">
        <v>8</v>
      </c>
      <c r="S27" s="1564">
        <f>F27</f>
        <v>100</v>
      </c>
      <c r="T27" s="1563" t="s">
        <v>8</v>
      </c>
      <c r="U27" s="1564">
        <f>H27</f>
        <v>100</v>
      </c>
      <c r="V27" s="1563" t="s">
        <v>8</v>
      </c>
      <c r="W27" s="1564">
        <f>J27</f>
        <v>100</v>
      </c>
      <c r="X27" s="1565"/>
      <c r="Y27" s="3466"/>
      <c r="Z27" s="2594" t="str">
        <f>Q27</f>
        <v>基础设施水平</v>
      </c>
      <c r="AA27" s="1571">
        <f>D27/F27</f>
        <v>1</v>
      </c>
      <c r="AB27" s="1571">
        <f>D27/H27</f>
        <v>1</v>
      </c>
      <c r="AC27" s="1571">
        <f>D27/J27</f>
        <v>1</v>
      </c>
    </row>
    <row r="28" spans="1:29" s="1215" customFormat="1" ht="15">
      <c r="A28" s="573"/>
      <c r="B28" s="591"/>
      <c r="C28" s="2611"/>
      <c r="D28" s="551"/>
      <c r="E28" s="575"/>
      <c r="F28" s="551"/>
      <c r="G28" s="575"/>
      <c r="H28" s="551"/>
      <c r="I28" s="575"/>
      <c r="J28" s="551"/>
      <c r="K28" s="527"/>
      <c r="L28" s="2130"/>
      <c r="M28" s="2131"/>
      <c r="N28" s="2131"/>
      <c r="O28" s="2132"/>
      <c r="P28" s="3466"/>
      <c r="Q28" s="2597"/>
      <c r="R28" s="1563"/>
      <c r="S28" s="1564"/>
      <c r="T28" s="1563"/>
      <c r="U28" s="1564"/>
      <c r="V28" s="1563"/>
      <c r="W28" s="1564"/>
      <c r="X28" s="1565"/>
      <c r="Y28" s="3466"/>
      <c r="Z28" s="2594"/>
      <c r="AA28" s="1566">
        <v>1</v>
      </c>
      <c r="AB28" s="1566">
        <v>1</v>
      </c>
      <c r="AC28" s="1566">
        <v>1</v>
      </c>
    </row>
    <row r="29" spans="1:29" ht="15">
      <c r="A29" s="528"/>
      <c r="B29" s="591" t="s">
        <v>541</v>
      </c>
      <c r="C29" s="579"/>
      <c r="D29" s="536">
        <v>100</v>
      </c>
      <c r="E29" s="576"/>
      <c r="F29" s="536">
        <f>SUMIF(97:97,E29,98:98)-SUMIF(97:97,C29,98:98)+100</f>
        <v>100</v>
      </c>
      <c r="G29" s="576"/>
      <c r="H29" s="536">
        <f>SUMIF(97:97,G29,98:98)-SUMIF(97:97,C29,98:98)+100</f>
        <v>100</v>
      </c>
      <c r="I29" s="576"/>
      <c r="J29" s="536">
        <f>SUMIF(97:97,I29,98:98)-SUMIF(97:97,C29,98:98)+100</f>
        <v>100</v>
      </c>
      <c r="K29" s="531"/>
      <c r="L29" s="2137"/>
      <c r="M29" s="2129"/>
      <c r="N29" s="2129"/>
      <c r="O29" s="2136"/>
      <c r="P29" s="3466"/>
      <c r="Q29" s="1567" t="str">
        <f t="shared" si="8"/>
        <v>临街状况</v>
      </c>
      <c r="R29" s="1568" t="s">
        <v>8</v>
      </c>
      <c r="S29" s="1569">
        <f t="shared" ref="S29:S42" si="10">F29</f>
        <v>100</v>
      </c>
      <c r="T29" s="1568" t="s">
        <v>8</v>
      </c>
      <c r="U29" s="1569">
        <f t="shared" ref="U29:U42" si="11">H29</f>
        <v>100</v>
      </c>
      <c r="V29" s="1568" t="s">
        <v>8</v>
      </c>
      <c r="W29" s="1569">
        <f t="shared" ref="W29:W42" si="12">J29</f>
        <v>100</v>
      </c>
      <c r="X29" s="1562"/>
      <c r="Y29" s="3466"/>
      <c r="Z29" s="1570" t="str">
        <f t="shared" ref="Z29:Z42" si="13">Q29</f>
        <v>临街状况</v>
      </c>
      <c r="AA29" s="1571">
        <f t="shared" si="3"/>
        <v>1</v>
      </c>
      <c r="AB29" s="1571">
        <f t="shared" si="4"/>
        <v>1</v>
      </c>
      <c r="AC29" s="1571">
        <f t="shared" si="5"/>
        <v>1</v>
      </c>
    </row>
    <row r="30" spans="1:29" ht="27">
      <c r="A30" s="528"/>
      <c r="B30" s="917" t="s">
        <v>542</v>
      </c>
      <c r="C30" s="2614">
        <f>估价对象房地状况!G22</f>
        <v>0</v>
      </c>
      <c r="D30" s="555">
        <v>100</v>
      </c>
      <c r="E30" s="558"/>
      <c r="F30" s="555">
        <f>SUMIF(99:99,E31,100:100)-SUMIF(99:99,C31,100:100)+100</f>
        <v>100</v>
      </c>
      <c r="G30" s="558"/>
      <c r="H30" s="555">
        <f>SUMIF(99:99,G31,100:100)-SUMIF(99:99,C31,100:100)+100</f>
        <v>100</v>
      </c>
      <c r="I30" s="560"/>
      <c r="J30" s="555">
        <f>SUMIF(99:99,I31,100:100)-SUMIF(99:99,C31,100:100)+100</f>
        <v>100</v>
      </c>
      <c r="K30" s="531"/>
      <c r="L30" s="2137"/>
      <c r="M30" s="2129"/>
      <c r="N30" s="2129"/>
      <c r="O30" s="2136"/>
      <c r="P30" s="3466"/>
      <c r="Q30" s="1567" t="str">
        <f t="shared" si="8"/>
        <v>毗邻道路的类型与等级</v>
      </c>
      <c r="R30" s="1568" t="s">
        <v>8</v>
      </c>
      <c r="S30" s="1569">
        <f t="shared" si="10"/>
        <v>100</v>
      </c>
      <c r="T30" s="1568" t="s">
        <v>8</v>
      </c>
      <c r="U30" s="1569">
        <f t="shared" si="11"/>
        <v>100</v>
      </c>
      <c r="V30" s="1568" t="s">
        <v>8</v>
      </c>
      <c r="W30" s="1569">
        <f t="shared" si="12"/>
        <v>100</v>
      </c>
      <c r="X30" s="1562"/>
      <c r="Y30" s="3466"/>
      <c r="Z30" s="1570" t="str">
        <f t="shared" si="13"/>
        <v>毗邻道路的类型与等级</v>
      </c>
      <c r="AA30" s="1571">
        <f t="shared" si="3"/>
        <v>1</v>
      </c>
      <c r="AB30" s="1571">
        <f t="shared" si="4"/>
        <v>1</v>
      </c>
      <c r="AC30" s="1571">
        <f t="shared" si="5"/>
        <v>1</v>
      </c>
    </row>
    <row r="31" spans="1:29" ht="15">
      <c r="A31" s="528"/>
      <c r="B31" s="591"/>
      <c r="C31" s="572"/>
      <c r="D31" s="551"/>
      <c r="E31" s="550"/>
      <c r="F31" s="551"/>
      <c r="G31" s="550"/>
      <c r="H31" s="551"/>
      <c r="I31" s="572"/>
      <c r="J31" s="551"/>
      <c r="K31" s="577"/>
      <c r="L31" s="2137"/>
      <c r="M31" s="2129"/>
      <c r="N31" s="2129"/>
      <c r="O31" s="2136"/>
      <c r="P31" s="3466"/>
      <c r="Q31" s="1567"/>
      <c r="R31" s="1568"/>
      <c r="S31" s="1569"/>
      <c r="T31" s="1568"/>
      <c r="U31" s="1569"/>
      <c r="V31" s="1568"/>
      <c r="W31" s="1569"/>
      <c r="X31" s="1562"/>
      <c r="Y31" s="3466"/>
      <c r="Z31" s="1570"/>
      <c r="AA31" s="1571">
        <v>1</v>
      </c>
      <c r="AB31" s="1571">
        <v>1</v>
      </c>
      <c r="AC31" s="1571">
        <v>1</v>
      </c>
    </row>
    <row r="32" spans="1:29" ht="15">
      <c r="A32" s="528"/>
      <c r="B32" s="525" t="s">
        <v>543</v>
      </c>
      <c r="C32" s="2615">
        <f>估价对象房地状况!G23</f>
        <v>0</v>
      </c>
      <c r="D32" s="536">
        <v>100</v>
      </c>
      <c r="E32" s="576"/>
      <c r="F32" s="536">
        <f>SUMIF(101:101,E32,102:102)-SUMIF(101:101,C32,102:102)+100</f>
        <v>100</v>
      </c>
      <c r="G32" s="576"/>
      <c r="H32" s="536">
        <f>SUMIF(101:101,G32,102:102)-SUMIF(101:101,C32,102:102)+100</f>
        <v>100</v>
      </c>
      <c r="I32" s="576"/>
      <c r="J32" s="536">
        <f>SUMIF(101:101,I32,102:102)-SUMIF(101:101,C32,102:102)+100</f>
        <v>100</v>
      </c>
      <c r="K32" s="580"/>
      <c r="L32" s="2137"/>
      <c r="M32" s="2129"/>
      <c r="N32" s="2129"/>
      <c r="O32" s="2136"/>
      <c r="P32" s="3466"/>
      <c r="Q32" s="1567" t="str">
        <f t="shared" si="8"/>
        <v>土地级别</v>
      </c>
      <c r="R32" s="1568" t="s">
        <v>8</v>
      </c>
      <c r="S32" s="1569">
        <f t="shared" si="10"/>
        <v>100</v>
      </c>
      <c r="T32" s="1568" t="s">
        <v>8</v>
      </c>
      <c r="U32" s="1569">
        <f t="shared" si="11"/>
        <v>100</v>
      </c>
      <c r="V32" s="1568" t="s">
        <v>8</v>
      </c>
      <c r="W32" s="1569">
        <f t="shared" si="12"/>
        <v>100</v>
      </c>
      <c r="X32" s="1562"/>
      <c r="Y32" s="3466"/>
      <c r="Z32" s="1570" t="str">
        <f t="shared" si="13"/>
        <v>土地级别</v>
      </c>
      <c r="AA32" s="1571">
        <f t="shared" si="3"/>
        <v>1</v>
      </c>
      <c r="AB32" s="1571">
        <f t="shared" si="4"/>
        <v>1</v>
      </c>
      <c r="AC32" s="1571">
        <f t="shared" si="5"/>
        <v>1</v>
      </c>
    </row>
    <row r="33" spans="1:29" ht="15">
      <c r="A33" s="513"/>
      <c r="B33" s="873">
        <v>111</v>
      </c>
      <c r="C33" s="538"/>
      <c r="D33" s="536">
        <v>100</v>
      </c>
      <c r="E33" s="582"/>
      <c r="F33" s="536">
        <f>SUMIF(103:103,E33,104:104)-SUMIF(103:103,C33,104:104)+100</f>
        <v>100</v>
      </c>
      <c r="G33" s="582"/>
      <c r="H33" s="536">
        <f>SUMIF(103:103,G33,104:104)-SUMIF(103:103,C33,104:104)+100</f>
        <v>100</v>
      </c>
      <c r="I33" s="537"/>
      <c r="J33" s="536">
        <f>SUMIF(103:103,I33,104:104)-SUMIF(103:103,C33,104:104)+100</f>
        <v>100</v>
      </c>
      <c r="K33" s="577"/>
      <c r="L33" s="2137"/>
      <c r="M33" s="2129"/>
      <c r="N33" s="2129"/>
      <c r="O33" s="2136"/>
      <c r="P33" s="3466"/>
      <c r="Q33" s="1567">
        <f t="shared" si="8"/>
        <v>111</v>
      </c>
      <c r="R33" s="1568" t="s">
        <v>8</v>
      </c>
      <c r="S33" s="1569">
        <f t="shared" si="10"/>
        <v>100</v>
      </c>
      <c r="T33" s="1568" t="s">
        <v>8</v>
      </c>
      <c r="U33" s="1569">
        <f t="shared" si="11"/>
        <v>100</v>
      </c>
      <c r="V33" s="1568" t="s">
        <v>8</v>
      </c>
      <c r="W33" s="1569">
        <f t="shared" si="12"/>
        <v>100</v>
      </c>
      <c r="X33" s="1562"/>
      <c r="Y33" s="3466"/>
      <c r="Z33" s="1570">
        <f t="shared" si="13"/>
        <v>111</v>
      </c>
      <c r="AA33" s="1571">
        <f t="shared" si="3"/>
        <v>1</v>
      </c>
      <c r="AB33" s="1571">
        <f t="shared" si="4"/>
        <v>1</v>
      </c>
      <c r="AC33" s="1571">
        <f t="shared" si="5"/>
        <v>1</v>
      </c>
    </row>
    <row r="34" spans="1:29" ht="15">
      <c r="A34" s="583"/>
      <c r="B34" s="598">
        <v>111</v>
      </c>
      <c r="C34" s="538"/>
      <c r="D34" s="536">
        <v>100</v>
      </c>
      <c r="E34" s="582"/>
      <c r="F34" s="536">
        <f>SUMIF(105:105,E35,106:106)-SUMIF(105:105,C35,106:106)+100</f>
        <v>100</v>
      </c>
      <c r="G34" s="582"/>
      <c r="H34" s="536">
        <f>SUMIF(105:105,G34,106:106)-SUMIF(105:105,C34,106:106)+100</f>
        <v>100</v>
      </c>
      <c r="I34" s="538"/>
      <c r="J34" s="536">
        <f>SUMIF(105:105,I34,106:106)-SUMIF(105:105,C34,106:106)+100</f>
        <v>100</v>
      </c>
      <c r="K34" s="577"/>
      <c r="L34" s="2137"/>
      <c r="M34" s="2129"/>
      <c r="N34" s="2129"/>
      <c r="O34" s="2136"/>
      <c r="P34" s="3467" t="s">
        <v>544</v>
      </c>
      <c r="Q34" s="1567">
        <f t="shared" si="8"/>
        <v>111</v>
      </c>
      <c r="R34" s="1568" t="s">
        <v>8</v>
      </c>
      <c r="S34" s="1569">
        <f t="shared" si="10"/>
        <v>100</v>
      </c>
      <c r="T34" s="1568" t="s">
        <v>8</v>
      </c>
      <c r="U34" s="1569">
        <f t="shared" si="11"/>
        <v>100</v>
      </c>
      <c r="V34" s="1568" t="s">
        <v>8</v>
      </c>
      <c r="W34" s="1569">
        <f t="shared" si="12"/>
        <v>100</v>
      </c>
      <c r="X34" s="1562"/>
      <c r="Y34" s="3468" t="s">
        <v>544</v>
      </c>
      <c r="Z34" s="1570">
        <f t="shared" si="13"/>
        <v>111</v>
      </c>
      <c r="AA34" s="1571">
        <f t="shared" si="3"/>
        <v>1</v>
      </c>
      <c r="AB34" s="1571">
        <f t="shared" si="4"/>
        <v>1</v>
      </c>
      <c r="AC34" s="1571">
        <f t="shared" si="5"/>
        <v>1</v>
      </c>
    </row>
    <row r="35" spans="1:29" s="1334" customFormat="1" ht="15.75" thickBot="1">
      <c r="A35" s="585"/>
      <c r="B35" s="2613">
        <v>111</v>
      </c>
      <c r="C35" s="589"/>
      <c r="D35" s="251">
        <v>100</v>
      </c>
      <c r="E35" s="737"/>
      <c r="F35" s="542">
        <f>SUMIF(107:107,E35,108:108)-SUMIF(107:107,C35,108:108)+100</f>
        <v>100</v>
      </c>
      <c r="G35" s="737"/>
      <c r="H35" s="542">
        <f>SUMIF(107:107,G35,108:108)-SUMIF(107:107,C35,108:108)+100</f>
        <v>100</v>
      </c>
      <c r="I35" s="589"/>
      <c r="J35" s="542">
        <f>SUMIF(107:107,I35,108:108)-SUMIF(107:107,C35,108:108)+100</f>
        <v>100</v>
      </c>
      <c r="K35" s="577"/>
      <c r="L35" s="2135"/>
      <c r="M35" s="2166"/>
      <c r="N35" s="2166"/>
      <c r="O35" s="2138"/>
      <c r="P35" s="3468"/>
      <c r="Q35" s="1567">
        <f t="shared" si="8"/>
        <v>111</v>
      </c>
      <c r="R35" s="1572" t="s">
        <v>8</v>
      </c>
      <c r="S35" s="1573">
        <f t="shared" si="10"/>
        <v>100</v>
      </c>
      <c r="T35" s="1572" t="s">
        <v>8</v>
      </c>
      <c r="U35" s="1573">
        <f t="shared" si="11"/>
        <v>100</v>
      </c>
      <c r="V35" s="1572" t="s">
        <v>8</v>
      </c>
      <c r="W35" s="1573">
        <f t="shared" si="12"/>
        <v>100</v>
      </c>
      <c r="X35" s="1574"/>
      <c r="Y35" s="3468"/>
      <c r="Z35" s="1575">
        <f t="shared" si="13"/>
        <v>111</v>
      </c>
      <c r="AA35" s="1571">
        <f t="shared" si="3"/>
        <v>1</v>
      </c>
      <c r="AB35" s="1571">
        <f t="shared" si="4"/>
        <v>1</v>
      </c>
      <c r="AC35" s="1571">
        <f t="shared" si="5"/>
        <v>1</v>
      </c>
    </row>
    <row r="36" spans="1:29" ht="15">
      <c r="A36" s="2928" t="s">
        <v>2754</v>
      </c>
      <c r="B36" s="591" t="s">
        <v>546</v>
      </c>
      <c r="C36" s="592"/>
      <c r="D36" s="593">
        <v>100</v>
      </c>
      <c r="E36" s="592"/>
      <c r="F36" s="593" t="e">
        <f>LOOKUP(E36,110:110,111:111)-LOOKUP(C36,110:110,111:111)+100</f>
        <v>#N/A</v>
      </c>
      <c r="G36" s="592"/>
      <c r="H36" s="593" t="e">
        <f>LOOKUP(G36,110:110,111:111)-LOOKUP(C36,110:110,111:111)+100</f>
        <v>#N/A</v>
      </c>
      <c r="I36" s="594"/>
      <c r="J36" s="593" t="e">
        <f>LOOKUP(I36,110:110,111:111)-LOOKUP(C36,110:110,111:111)+100</f>
        <v>#N/A</v>
      </c>
      <c r="K36" s="577"/>
      <c r="L36" s="2137"/>
      <c r="M36" s="2129"/>
      <c r="N36" s="2129"/>
      <c r="O36" s="2136"/>
      <c r="P36" s="3468"/>
      <c r="Q36" s="1567" t="str">
        <f>B36</f>
        <v>宗地面积</v>
      </c>
      <c r="R36" s="1568" t="s">
        <v>8</v>
      </c>
      <c r="S36" s="1569" t="e">
        <f t="shared" si="10"/>
        <v>#N/A</v>
      </c>
      <c r="T36" s="1568" t="s">
        <v>8</v>
      </c>
      <c r="U36" s="1569" t="e">
        <f t="shared" si="11"/>
        <v>#N/A</v>
      </c>
      <c r="V36" s="1568" t="s">
        <v>8</v>
      </c>
      <c r="W36" s="1569" t="e">
        <f t="shared" si="12"/>
        <v>#N/A</v>
      </c>
      <c r="X36" s="1562"/>
      <c r="Y36" s="3468"/>
      <c r="Z36" s="1570" t="str">
        <f t="shared" si="13"/>
        <v>宗地面积</v>
      </c>
      <c r="AA36" s="1571" t="e">
        <f t="shared" si="3"/>
        <v>#N/A</v>
      </c>
      <c r="AB36" s="1571" t="e">
        <f t="shared" si="4"/>
        <v>#N/A</v>
      </c>
      <c r="AC36" s="1571" t="e">
        <f t="shared" si="5"/>
        <v>#N/A</v>
      </c>
    </row>
    <row r="37" spans="1:29" ht="15">
      <c r="A37" s="590"/>
      <c r="B37" s="525" t="s">
        <v>547</v>
      </c>
      <c r="C37" s="595"/>
      <c r="D37" s="536">
        <v>100</v>
      </c>
      <c r="E37" s="595"/>
      <c r="F37" s="536">
        <f>SUMIF(112:112,E37,113:113)-SUMIF(112:112,C37,113:113)+100</f>
        <v>100</v>
      </c>
      <c r="G37" s="595"/>
      <c r="H37" s="536">
        <f>SUMIF(112:112,G37,113:113)-SUMIF(112:112,C37,113:113)+100</f>
        <v>100</v>
      </c>
      <c r="I37" s="595"/>
      <c r="J37" s="536">
        <f>SUMIF(112:112,I37,113:113)-SUMIF(112:112,C37,113:113)+100</f>
        <v>100</v>
      </c>
      <c r="K37" s="580"/>
      <c r="L37" s="2137"/>
      <c r="M37" s="2129"/>
      <c r="N37" s="2129"/>
      <c r="O37" s="2136"/>
      <c r="P37" s="3468"/>
      <c r="Q37" s="1567" t="str">
        <f t="shared" ref="Q37:Q42" si="14">B37</f>
        <v>宗地形状</v>
      </c>
      <c r="R37" s="1568" t="s">
        <v>8</v>
      </c>
      <c r="S37" s="1569">
        <f t="shared" si="10"/>
        <v>100</v>
      </c>
      <c r="T37" s="1568" t="s">
        <v>8</v>
      </c>
      <c r="U37" s="1569">
        <f t="shared" si="11"/>
        <v>100</v>
      </c>
      <c r="V37" s="1568" t="s">
        <v>8</v>
      </c>
      <c r="W37" s="1569">
        <f t="shared" si="12"/>
        <v>100</v>
      </c>
      <c r="X37" s="1562"/>
      <c r="Y37" s="3468"/>
      <c r="Z37" s="1570" t="str">
        <f t="shared" si="13"/>
        <v>宗地形状</v>
      </c>
      <c r="AA37" s="1571">
        <f t="shared" si="3"/>
        <v>1</v>
      </c>
      <c r="AB37" s="1571">
        <f t="shared" si="4"/>
        <v>1</v>
      </c>
      <c r="AC37" s="1571">
        <f t="shared" si="5"/>
        <v>1</v>
      </c>
    </row>
    <row r="38" spans="1:29" s="1215" customFormat="1" ht="15">
      <c r="A38" s="596"/>
      <c r="B38" s="1890" t="s">
        <v>2419</v>
      </c>
      <c r="C38" s="597"/>
      <c r="D38" s="250">
        <v>100</v>
      </c>
      <c r="E38" s="597"/>
      <c r="F38" s="536">
        <f>SUMIF(114:114,E38,115:115)-SUMIF(114:114,C38,115:115)+100</f>
        <v>100</v>
      </c>
      <c r="G38" s="597"/>
      <c r="H38" s="536">
        <f>SUMIF(114:114,G38,115:115)-SUMIF(114:114,C38,115:115)+100</f>
        <v>100</v>
      </c>
      <c r="I38" s="597"/>
      <c r="J38" s="536">
        <f>SUMIF(114:114,I38,115:115)-SUMIF(114:114,C38,115:115)+100</f>
        <v>100</v>
      </c>
      <c r="K38" s="580"/>
      <c r="L38" s="2130"/>
      <c r="M38" s="2131"/>
      <c r="N38" s="2131"/>
      <c r="O38" s="2132"/>
      <c r="P38" s="3468"/>
      <c r="Q38" s="1567" t="str">
        <f t="shared" si="14"/>
        <v>宗地开发程度</v>
      </c>
      <c r="R38" s="1563" t="s">
        <v>8</v>
      </c>
      <c r="S38" s="1564">
        <f t="shared" si="10"/>
        <v>100</v>
      </c>
      <c r="T38" s="1563" t="s">
        <v>8</v>
      </c>
      <c r="U38" s="1564">
        <f t="shared" si="11"/>
        <v>100</v>
      </c>
      <c r="V38" s="1563" t="s">
        <v>8</v>
      </c>
      <c r="W38" s="1564">
        <f t="shared" si="12"/>
        <v>100</v>
      </c>
      <c r="X38" s="1565"/>
      <c r="Y38" s="3468"/>
      <c r="Z38" s="1145" t="str">
        <f t="shared" si="13"/>
        <v>宗地开发程度</v>
      </c>
      <c r="AA38" s="1566">
        <f t="shared" si="3"/>
        <v>1</v>
      </c>
      <c r="AB38" s="1566">
        <f t="shared" si="4"/>
        <v>1</v>
      </c>
      <c r="AC38" s="1566">
        <f t="shared" si="5"/>
        <v>1</v>
      </c>
    </row>
    <row r="39" spans="1:29" ht="15">
      <c r="A39" s="590"/>
      <c r="B39" s="525" t="s">
        <v>549</v>
      </c>
      <c r="C39" s="595"/>
      <c r="D39" s="536">
        <v>100</v>
      </c>
      <c r="E39" s="595"/>
      <c r="F39" s="536">
        <f>SUMIF(116:116,E39,117:117)-SUMIF(116:116,C39,117:117)+100</f>
        <v>100</v>
      </c>
      <c r="G39" s="595"/>
      <c r="H39" s="536">
        <f>SUMIF(116:116,G39,117:117)-SUMIF(116:116,C39,117:117)+100</f>
        <v>100</v>
      </c>
      <c r="I39" s="595"/>
      <c r="J39" s="536">
        <f>SUMIF(116:116,I39,117:117)-SUMIF(116:116,C39,117:117)+100</f>
        <v>100</v>
      </c>
      <c r="K39" s="580"/>
      <c r="L39" s="2137"/>
      <c r="M39" s="2129"/>
      <c r="N39" s="2129"/>
      <c r="O39" s="2136"/>
      <c r="P39" s="3468" t="s">
        <v>595</v>
      </c>
      <c r="Q39" s="1567" t="str">
        <f t="shared" si="14"/>
        <v>工程地质条件</v>
      </c>
      <c r="R39" s="1568" t="s">
        <v>8</v>
      </c>
      <c r="S39" s="1569">
        <f t="shared" si="10"/>
        <v>100</v>
      </c>
      <c r="T39" s="1568" t="s">
        <v>8</v>
      </c>
      <c r="U39" s="1569">
        <f t="shared" si="11"/>
        <v>100</v>
      </c>
      <c r="V39" s="1568" t="s">
        <v>8</v>
      </c>
      <c r="W39" s="1569">
        <f t="shared" si="12"/>
        <v>100</v>
      </c>
      <c r="X39" s="1562"/>
      <c r="Y39" s="3468" t="s">
        <v>595</v>
      </c>
      <c r="Z39" s="1570" t="str">
        <f t="shared" si="13"/>
        <v>工程地质条件</v>
      </c>
      <c r="AA39" s="1571">
        <f t="shared" si="3"/>
        <v>1</v>
      </c>
      <c r="AB39" s="1571">
        <f t="shared" si="4"/>
        <v>1</v>
      </c>
      <c r="AC39" s="1571">
        <f t="shared" si="5"/>
        <v>1</v>
      </c>
    </row>
    <row r="40" spans="1:29" ht="15">
      <c r="A40" s="590"/>
      <c r="B40" s="598">
        <v>111</v>
      </c>
      <c r="C40" s="538"/>
      <c r="D40" s="536">
        <v>100</v>
      </c>
      <c r="E40" s="538"/>
      <c r="F40" s="536">
        <f>SUMIF(118:118,E40,119:119)-SUMIF(118:118,C40,119:119)+100</f>
        <v>100</v>
      </c>
      <c r="G40" s="538"/>
      <c r="H40" s="536">
        <f>SUMIF(118:118,G40,119:119)-SUMIF(118:118,C40,119:119)+100</f>
        <v>100</v>
      </c>
      <c r="I40" s="537"/>
      <c r="J40" s="536">
        <f>SUMIF(118:118,I40,119:119)-SUMIF(118:118,C40,119:119)+100</f>
        <v>100</v>
      </c>
      <c r="K40" s="577"/>
      <c r="L40" s="2137"/>
      <c r="M40" s="2129"/>
      <c r="N40" s="2129"/>
      <c r="O40" s="2136"/>
      <c r="P40" s="3468"/>
      <c r="Q40" s="1567">
        <f t="shared" si="14"/>
        <v>111</v>
      </c>
      <c r="R40" s="1568" t="s">
        <v>8</v>
      </c>
      <c r="S40" s="1569">
        <f t="shared" si="10"/>
        <v>100</v>
      </c>
      <c r="T40" s="1568" t="s">
        <v>8</v>
      </c>
      <c r="U40" s="1569">
        <f t="shared" si="11"/>
        <v>100</v>
      </c>
      <c r="V40" s="1568" t="s">
        <v>8</v>
      </c>
      <c r="W40" s="1569">
        <f t="shared" si="12"/>
        <v>100</v>
      </c>
      <c r="X40" s="1562"/>
      <c r="Y40" s="3468"/>
      <c r="Z40" s="1570">
        <f t="shared" si="13"/>
        <v>111</v>
      </c>
      <c r="AA40" s="1571">
        <f t="shared" si="3"/>
        <v>1</v>
      </c>
      <c r="AB40" s="1571">
        <f t="shared" si="4"/>
        <v>1</v>
      </c>
      <c r="AC40" s="1571">
        <f t="shared" si="5"/>
        <v>1</v>
      </c>
    </row>
    <row r="41" spans="1:29" ht="15">
      <c r="A41" s="590"/>
      <c r="B41" s="598">
        <v>111</v>
      </c>
      <c r="C41" s="538"/>
      <c r="D41" s="536">
        <v>100</v>
      </c>
      <c r="E41" s="538"/>
      <c r="F41" s="536">
        <f>SUMIF(120:120,E41,121:121)-SUMIF(120:120,C41,121:121)+100</f>
        <v>100</v>
      </c>
      <c r="G41" s="538"/>
      <c r="H41" s="536">
        <f>SUMIF(120:120,G41,121:121)-SUMIF(120:120,C41,121:121)+100</f>
        <v>100</v>
      </c>
      <c r="I41" s="537"/>
      <c r="J41" s="536">
        <f>SUMIF(120:120,I41,121:121)-SUMIF(120:120,C41,121:121)+100</f>
        <v>100</v>
      </c>
      <c r="K41" s="577"/>
      <c r="L41" s="2137"/>
      <c r="M41" s="2129"/>
      <c r="N41" s="2129"/>
      <c r="O41" s="2136"/>
      <c r="P41" s="3468"/>
      <c r="Q41" s="1567">
        <f t="shared" si="14"/>
        <v>111</v>
      </c>
      <c r="R41" s="1568" t="s">
        <v>8</v>
      </c>
      <c r="S41" s="1569">
        <f t="shared" si="10"/>
        <v>100</v>
      </c>
      <c r="T41" s="1568" t="s">
        <v>8</v>
      </c>
      <c r="U41" s="1569">
        <f t="shared" si="11"/>
        <v>100</v>
      </c>
      <c r="V41" s="1568" t="s">
        <v>8</v>
      </c>
      <c r="W41" s="1569">
        <f t="shared" si="12"/>
        <v>100</v>
      </c>
      <c r="X41" s="1562"/>
      <c r="Y41" s="3468"/>
      <c r="Z41" s="1570">
        <f t="shared" si="13"/>
        <v>111</v>
      </c>
      <c r="AA41" s="1571">
        <f t="shared" si="3"/>
        <v>1</v>
      </c>
      <c r="AB41" s="1571">
        <f t="shared" si="4"/>
        <v>1</v>
      </c>
      <c r="AC41" s="1571">
        <f t="shared" si="5"/>
        <v>1</v>
      </c>
    </row>
    <row r="42" spans="1:29" s="1334" customFormat="1" ht="15.75" thickBot="1">
      <c r="A42" s="599"/>
      <c r="B42" s="598">
        <v>111</v>
      </c>
      <c r="C42" s="600"/>
      <c r="D42" s="251">
        <v>100</v>
      </c>
      <c r="E42" s="538"/>
      <c r="F42" s="542">
        <f>SUMIF(122:122,E42,123:123)-SUMIF(122:122,C42,123:123)+100</f>
        <v>100</v>
      </c>
      <c r="G42" s="538"/>
      <c r="H42" s="542">
        <f>SUMIF(122:122,G42,123:123)-SUMIF(122:122,C42,123:123)+100</f>
        <v>100</v>
      </c>
      <c r="I42" s="537"/>
      <c r="J42" s="542">
        <f>SUMIF(122:122,I42,123:123)-SUMIF(122:122,C42,123:123)+100</f>
        <v>100</v>
      </c>
      <c r="K42" s="602"/>
      <c r="L42" s="2135"/>
      <c r="M42" s="2166"/>
      <c r="N42" s="2166"/>
      <c r="O42" s="2138"/>
      <c r="P42" s="3468"/>
      <c r="Q42" s="1567">
        <f t="shared" si="14"/>
        <v>111</v>
      </c>
      <c r="R42" s="1572" t="s">
        <v>8</v>
      </c>
      <c r="S42" s="1573">
        <f t="shared" si="10"/>
        <v>100</v>
      </c>
      <c r="T42" s="1572" t="s">
        <v>8</v>
      </c>
      <c r="U42" s="1573">
        <f t="shared" si="11"/>
        <v>100</v>
      </c>
      <c r="V42" s="1572" t="s">
        <v>8</v>
      </c>
      <c r="W42" s="1573">
        <f t="shared" si="12"/>
        <v>100</v>
      </c>
      <c r="X42" s="1574"/>
      <c r="Y42" s="3468"/>
      <c r="Z42" s="1575">
        <f t="shared" si="13"/>
        <v>111</v>
      </c>
      <c r="AA42" s="1571">
        <f t="shared" si="3"/>
        <v>1</v>
      </c>
      <c r="AB42" s="1571">
        <f t="shared" si="4"/>
        <v>1</v>
      </c>
      <c r="AC42" s="1571">
        <f t="shared" si="5"/>
        <v>1</v>
      </c>
    </row>
    <row r="43" spans="1:29" ht="15">
      <c r="A43" s="603" t="s">
        <v>550</v>
      </c>
      <c r="B43" s="604" t="s">
        <v>2928</v>
      </c>
      <c r="C43" s="605" t="s">
        <v>1</v>
      </c>
      <c r="D43" s="606"/>
      <c r="E43" s="607"/>
      <c r="F43" s="608"/>
      <c r="G43" s="609"/>
      <c r="H43" s="610"/>
      <c r="I43" s="607"/>
      <c r="J43" s="610"/>
      <c r="K43" s="1335"/>
      <c r="L43" s="2139"/>
      <c r="M43" s="2129"/>
      <c r="N43" s="2129"/>
      <c r="O43" s="2140"/>
      <c r="P43" s="3463" t="str">
        <f>A43</f>
        <v>成交单价</v>
      </c>
      <c r="Q43" s="3463"/>
      <c r="R43" s="3477">
        <f>E43</f>
        <v>0</v>
      </c>
      <c r="S43" s="3477"/>
      <c r="T43" s="3477">
        <f>G43</f>
        <v>0</v>
      </c>
      <c r="U43" s="3477"/>
      <c r="V43" s="3477">
        <f>I43</f>
        <v>0</v>
      </c>
      <c r="W43" s="3477"/>
      <c r="X43" s="1554"/>
      <c r="Y43" s="1576"/>
      <c r="Z43" s="1554"/>
      <c r="AA43" s="1554"/>
      <c r="AB43" s="1554"/>
      <c r="AC43" s="1554"/>
    </row>
    <row r="44" spans="1:29" ht="15.75" thickBot="1">
      <c r="A44" s="611" t="s">
        <v>2692</v>
      </c>
      <c r="B44" s="612"/>
      <c r="C44" s="613" t="e">
        <f>R45</f>
        <v>#DIV/0!</v>
      </c>
      <c r="D44" s="614"/>
      <c r="E44" s="613" t="e">
        <f>R44</f>
        <v>#DIV/0!</v>
      </c>
      <c r="F44" s="615"/>
      <c r="G44" s="616" t="e">
        <f>T44</f>
        <v>#DIV/0!</v>
      </c>
      <c r="H44" s="614"/>
      <c r="I44" s="613" t="e">
        <f>V44</f>
        <v>#DIV/0!</v>
      </c>
      <c r="J44" s="614"/>
      <c r="K44" s="1336"/>
      <c r="L44" s="2139"/>
      <c r="M44" s="2129"/>
      <c r="N44" s="2129"/>
      <c r="O44" s="2140"/>
      <c r="P44" s="3463" t="str">
        <f>A44</f>
        <v>比较价格（元/平方米）</v>
      </c>
      <c r="Q44" s="3463"/>
      <c r="R44" s="3487" t="e">
        <f>ROUND(PRODUCT(R43,AA9:AA42),0)</f>
        <v>#DIV/0!</v>
      </c>
      <c r="S44" s="3487"/>
      <c r="T44" s="3487" t="e">
        <f>ROUND(PRODUCT(T43,AB9:AB42),0)</f>
        <v>#DIV/0!</v>
      </c>
      <c r="U44" s="3487"/>
      <c r="V44" s="3487" t="e">
        <f>ROUND(PRODUCT(V43,AC9:AC42),0)</f>
        <v>#DIV/0!</v>
      </c>
      <c r="W44" s="3487"/>
      <c r="X44" s="1554"/>
      <c r="Y44" s="1554"/>
      <c r="Z44" s="1554"/>
      <c r="AA44" s="1554"/>
      <c r="AB44" s="1554"/>
      <c r="AC44" s="1554"/>
    </row>
    <row r="45" spans="1:29" ht="15.75" thickBot="1">
      <c r="A45" s="617" t="s">
        <v>2929</v>
      </c>
      <c r="B45" s="618"/>
      <c r="C45" s="619" t="e">
        <f>R45</f>
        <v>#DIV/0!</v>
      </c>
      <c r="D45" s="619"/>
      <c r="E45" s="619"/>
      <c r="F45" s="619"/>
      <c r="G45" s="619"/>
      <c r="H45" s="619"/>
      <c r="I45" s="619"/>
      <c r="J45" s="619"/>
      <c r="K45" s="1337"/>
      <c r="L45" s="2139"/>
      <c r="M45" s="2129"/>
      <c r="N45" s="2129"/>
      <c r="O45" s="2140"/>
      <c r="P45" s="3484" t="str">
        <f>A45</f>
        <v>估价对象XX用房的比较价格（楼面单价，元/平方米）</v>
      </c>
      <c r="Q45" s="3485"/>
      <c r="R45" s="3486" t="e">
        <f>ROUND(AVERAGE(R44:V44),0)</f>
        <v>#DIV/0!</v>
      </c>
      <c r="S45" s="3486"/>
      <c r="T45" s="3486"/>
      <c r="U45" s="3486"/>
      <c r="V45" s="3486"/>
      <c r="W45" s="3486"/>
      <c r="X45" s="1554"/>
      <c r="Y45" s="1554"/>
      <c r="Z45" s="1554"/>
      <c r="AA45" s="1554"/>
      <c r="AB45" s="1554"/>
      <c r="AC45" s="1554"/>
    </row>
    <row r="46" spans="1:29">
      <c r="A46" s="2140"/>
      <c r="B46" s="2140"/>
      <c r="C46" s="2140"/>
      <c r="D46" s="2140"/>
      <c r="E46" s="2140"/>
      <c r="F46" s="2140"/>
      <c r="G46" s="2143"/>
      <c r="H46" s="2140"/>
      <c r="I46" s="2140"/>
      <c r="J46" s="2140"/>
      <c r="K46" s="2144"/>
      <c r="L46" s="2145"/>
      <c r="M46" s="2129"/>
      <c r="N46" s="2129"/>
      <c r="O46" s="2140"/>
      <c r="P46" s="1554"/>
      <c r="Q46" s="1554"/>
      <c r="R46" s="1554"/>
      <c r="S46" s="1554"/>
      <c r="T46" s="1554"/>
      <c r="U46" s="1554"/>
      <c r="V46" s="1554"/>
      <c r="W46" s="1554"/>
      <c r="X46" s="1554"/>
      <c r="Y46" s="1554"/>
      <c r="Z46" s="1554"/>
      <c r="AA46" s="1554"/>
      <c r="AB46" s="1554"/>
      <c r="AC46" s="1554"/>
    </row>
    <row r="47" spans="1:29">
      <c r="A47" s="2140"/>
      <c r="B47" s="2140"/>
      <c r="C47" s="2140"/>
      <c r="D47" s="2140"/>
      <c r="E47" s="2140"/>
      <c r="F47" s="2140"/>
      <c r="G47" s="2140"/>
      <c r="H47" s="2140"/>
      <c r="I47" s="2140"/>
      <c r="J47" s="2140"/>
      <c r="K47" s="2144"/>
      <c r="L47" s="2145"/>
      <c r="M47" s="2129"/>
      <c r="N47" s="2129"/>
      <c r="O47" s="2140"/>
      <c r="P47" s="2140"/>
      <c r="Q47" s="2140"/>
      <c r="R47" s="2140"/>
      <c r="S47" s="2140"/>
      <c r="T47" s="2140"/>
      <c r="U47" s="2140"/>
      <c r="V47" s="2140"/>
      <c r="W47" s="2140"/>
      <c r="X47" s="2140"/>
      <c r="Y47" s="2140"/>
      <c r="Z47" s="2140"/>
      <c r="AA47" s="2140"/>
      <c r="AB47" s="2140"/>
      <c r="AC47" s="2140"/>
    </row>
    <row r="48" spans="1:29" ht="13.5" customHeight="1">
      <c r="A48" s="2140"/>
      <c r="B48" s="2140"/>
      <c r="C48" s="620" t="s">
        <v>551</v>
      </c>
      <c r="D48" s="621"/>
      <c r="E48" s="622" t="e">
        <f>IF(E43&lt;E44,E44/E43-1,E43/E44-1)</f>
        <v>#DIV/0!</v>
      </c>
      <c r="F48" s="623" t="e">
        <f>IF(OR(E48&gt;=0.3,E48&lt;=-0.3),"超过30%","")</f>
        <v>#DIV/0!</v>
      </c>
      <c r="G48" s="622" t="e">
        <f>IF(G43&lt;G44,G44/G43-1,G43/G44-1)</f>
        <v>#DIV/0!</v>
      </c>
      <c r="H48" s="623" t="e">
        <f>IF(OR(G48&gt;=0.3,G48&lt;=-0.3),"超过30%","")</f>
        <v>#DIV/0!</v>
      </c>
      <c r="I48" s="622" t="e">
        <f>IF(I43&lt;I44,I44/I43-1,I43/I44-1)</f>
        <v>#DIV/0!</v>
      </c>
      <c r="J48" s="623" t="e">
        <f>IF(OR(I48&gt;=0.3,I48&lt;=-0.3),"超过30%","")</f>
        <v>#DIV/0!</v>
      </c>
      <c r="K48" s="2144"/>
      <c r="L48" s="2145"/>
      <c r="M48" s="2129"/>
      <c r="N48" s="2129"/>
      <c r="O48" s="2140"/>
      <c r="P48" s="2140"/>
      <c r="Q48" s="2140"/>
      <c r="R48" s="2140"/>
      <c r="S48" s="2140"/>
      <c r="T48" s="2140"/>
      <c r="U48" s="2140"/>
      <c r="V48" s="2140"/>
      <c r="W48" s="2140"/>
      <c r="X48" s="2140"/>
      <c r="Y48" s="2140"/>
      <c r="Z48" s="2140"/>
      <c r="AA48" s="2140"/>
      <c r="AB48" s="2140"/>
      <c r="AC48" s="2140"/>
    </row>
    <row r="49" spans="1:29" ht="13.5" customHeight="1">
      <c r="A49" s="2140"/>
      <c r="B49" s="2140"/>
      <c r="C49" s="620" t="s">
        <v>552</v>
      </c>
      <c r="D49" s="624"/>
      <c r="E49" s="622" t="e">
        <f>IF(E44&lt;G44,G44/E44-1,E44/G44-1)</f>
        <v>#DIV/0!</v>
      </c>
      <c r="F49" s="623" t="e">
        <f>IF(OR(E49&gt;=0.2,E49&lt;=-0.2),"超过20%","")</f>
        <v>#DIV/0!</v>
      </c>
      <c r="G49" s="622" t="e">
        <f>IF(G44&lt;I44,I44/G44-1,G44/I44-1)</f>
        <v>#DIV/0!</v>
      </c>
      <c r="H49" s="623" t="e">
        <f>IF(OR(G49&gt;=0.2,G49&lt;=-0.2),"超过20%","")</f>
        <v>#DIV/0!</v>
      </c>
      <c r="I49" s="622" t="e">
        <f>IF(I44&lt;E44,E44/I44-1,I44/E44-1)</f>
        <v>#DIV/0!</v>
      </c>
      <c r="J49" s="623" t="e">
        <f>IF(OR(I49&gt;=0.2,I49&lt;=-0.2),"超过20%","")</f>
        <v>#DIV/0!</v>
      </c>
      <c r="K49" s="2144"/>
      <c r="L49" s="2145"/>
      <c r="M49" s="2140"/>
      <c r="N49" s="2140"/>
      <c r="O49" s="2140"/>
      <c r="P49" s="2140"/>
      <c r="Q49" s="2140"/>
      <c r="R49" s="2140"/>
      <c r="S49" s="2140"/>
      <c r="T49" s="2140"/>
      <c r="U49" s="2140"/>
      <c r="V49" s="2140"/>
      <c r="W49" s="2140"/>
      <c r="X49" s="2140"/>
      <c r="Y49" s="2140"/>
      <c r="Z49" s="2140"/>
      <c r="AA49" s="2140"/>
      <c r="AB49" s="2140"/>
      <c r="AC49" s="2140"/>
    </row>
    <row r="50" spans="1:29" s="1340" customFormat="1" ht="13.5" customHeight="1">
      <c r="A50" s="2141"/>
      <c r="B50" s="2141"/>
      <c r="C50" s="620" t="s">
        <v>553</v>
      </c>
      <c r="D50" s="624"/>
      <c r="E50" s="622" t="e">
        <f>IF(E43&lt;G43,G43/E43-1,E43/G43-1)</f>
        <v>#DIV/0!</v>
      </c>
      <c r="F50" s="623" t="e">
        <f>IF(OR(E50&gt;=0.3,E50&lt;=-0.3),"超过30%","")</f>
        <v>#DIV/0!</v>
      </c>
      <c r="G50" s="622" t="e">
        <f>IF(G43&lt;I43,I43/G43-1,G43/I43-1)</f>
        <v>#DIV/0!</v>
      </c>
      <c r="H50" s="623" t="e">
        <f>IF(OR(G50&gt;=0.3,G50&lt;=-0.3),"超过30%","")</f>
        <v>#DIV/0!</v>
      </c>
      <c r="I50" s="622" t="e">
        <f>IF(I43&lt;E43,E43/I43-1,I43/E43-1)</f>
        <v>#DIV/0!</v>
      </c>
      <c r="J50" s="623" t="e">
        <f>IF(OR(I50&gt;=0.3,I50&lt;=-0.3),"超过30%","")</f>
        <v>#DIV/0!</v>
      </c>
      <c r="K50" s="2147"/>
      <c r="L50" s="2148"/>
      <c r="M50" s="2141"/>
      <c r="N50" s="2141"/>
      <c r="O50" s="2141"/>
      <c r="P50" s="2141"/>
      <c r="Q50" s="2141"/>
      <c r="R50" s="2141"/>
      <c r="S50" s="2141"/>
      <c r="T50" s="2141"/>
      <c r="U50" s="2141"/>
      <c r="V50" s="2141"/>
      <c r="W50" s="2141"/>
      <c r="X50" s="2141"/>
      <c r="Y50" s="2141"/>
      <c r="Z50" s="2141"/>
      <c r="AA50" s="2141"/>
      <c r="AB50" s="2141"/>
      <c r="AC50" s="2141"/>
    </row>
    <row r="51" spans="1:29" s="1340" customFormat="1" ht="15" thickBot="1">
      <c r="A51" s="2141"/>
      <c r="B51" s="2142"/>
      <c r="C51" s="2146"/>
      <c r="D51" s="2141"/>
      <c r="E51" s="2141"/>
      <c r="F51" s="2141"/>
      <c r="G51" s="2141"/>
      <c r="H51" s="2141"/>
      <c r="I51" s="2141"/>
      <c r="J51" s="2141"/>
      <c r="K51" s="2147"/>
      <c r="L51" s="2148"/>
      <c r="M51" s="2141"/>
      <c r="N51" s="2141"/>
      <c r="O51" s="2141"/>
      <c r="P51" s="2141"/>
      <c r="Q51" s="2141"/>
      <c r="R51" s="2141"/>
      <c r="S51" s="2141"/>
      <c r="T51" s="2141"/>
      <c r="U51" s="2141"/>
      <c r="V51" s="2141"/>
      <c r="W51" s="2141"/>
      <c r="X51" s="2141"/>
      <c r="Y51" s="2141"/>
      <c r="Z51" s="2141"/>
      <c r="AA51" s="2141"/>
      <c r="AB51" s="2141"/>
      <c r="AC51" s="2141"/>
    </row>
    <row r="52" spans="1:29" ht="27">
      <c r="A52" s="625" t="s">
        <v>554</v>
      </c>
      <c r="B52" s="626" t="s">
        <v>555</v>
      </c>
      <c r="C52" s="1555" t="s">
        <v>1718</v>
      </c>
      <c r="D52" s="2222" t="s">
        <v>2288</v>
      </c>
      <c r="E52" s="627" t="s">
        <v>556</v>
      </c>
      <c r="F52" s="1946" t="s">
        <v>557</v>
      </c>
      <c r="G52" s="3488" t="s">
        <v>2279</v>
      </c>
      <c r="H52" s="3489"/>
      <c r="I52" s="1947" t="s">
        <v>1941</v>
      </c>
      <c r="J52" s="1550" t="str">
        <f>项目基本情况!F41</f>
        <v>天津市</v>
      </c>
      <c r="K52" s="2149" t="s">
        <v>1717</v>
      </c>
      <c r="L52" s="2145"/>
      <c r="M52" s="2140"/>
      <c r="N52" s="2140"/>
      <c r="O52" s="2140"/>
      <c r="P52" s="2140"/>
      <c r="Q52" s="2140"/>
      <c r="R52" s="2140"/>
      <c r="S52" s="2140"/>
      <c r="T52" s="2140"/>
      <c r="U52" s="2140"/>
      <c r="V52" s="2140"/>
      <c r="W52" s="2140"/>
      <c r="X52" s="2140"/>
      <c r="Y52" s="2140"/>
      <c r="Z52" s="2140"/>
      <c r="AA52" s="2140"/>
      <c r="AB52" s="2140"/>
      <c r="AC52" s="2140"/>
    </row>
    <row r="53" spans="1:29" s="1341" customFormat="1" ht="12.75">
      <c r="A53" s="629" t="s">
        <v>558</v>
      </c>
      <c r="B53" s="630" t="e">
        <f>C45</f>
        <v>#DIV/0!</v>
      </c>
      <c r="C53" s="631">
        <v>1</v>
      </c>
      <c r="D53" s="2223">
        <v>1</v>
      </c>
      <c r="E53" s="631">
        <f>'数据-汇总表'!E8+'数据-汇总表'!E9</f>
        <v>275204</v>
      </c>
      <c r="F53" s="1945" t="e">
        <f t="shared" ref="F53:F62" si="15">ROUND(B53*E53/10000,0)</f>
        <v>#DIV/0!</v>
      </c>
      <c r="G53" s="3490"/>
      <c r="H53" s="3491"/>
      <c r="I53" s="1948">
        <v>1</v>
      </c>
      <c r="J53" s="1551">
        <v>1</v>
      </c>
      <c r="K53" s="2150"/>
      <c r="L53" s="2150"/>
      <c r="M53" s="2150"/>
      <c r="N53" s="2150"/>
      <c r="O53" s="2150"/>
      <c r="P53" s="2150"/>
      <c r="Q53" s="2150"/>
      <c r="R53" s="2150"/>
      <c r="S53" s="2150"/>
      <c r="T53" s="2150"/>
      <c r="U53" s="2150"/>
      <c r="V53" s="2150"/>
      <c r="W53" s="2150"/>
      <c r="X53" s="2150"/>
      <c r="Y53" s="2150"/>
      <c r="Z53" s="2150"/>
      <c r="AA53" s="2150"/>
      <c r="AB53" s="2150"/>
      <c r="AC53" s="2150"/>
    </row>
    <row r="54" spans="1:29" s="1341" customFormat="1" ht="12.75">
      <c r="A54" s="633" t="s">
        <v>559</v>
      </c>
      <c r="B54" s="634" t="e">
        <f>ROUND($C$45*C54*D54,0)</f>
        <v>#DIV/0!</v>
      </c>
      <c r="C54" s="376">
        <f t="shared" ref="C54:C62" si="16">IF($C$52="北京市系数",I54,J54)</f>
        <v>0</v>
      </c>
      <c r="D54" s="2224">
        <v>0.25</v>
      </c>
      <c r="E54" s="635"/>
      <c r="F54" s="1945" t="e">
        <f t="shared" si="15"/>
        <v>#DIV/0!</v>
      </c>
      <c r="G54" s="3492" t="s">
        <v>2280</v>
      </c>
      <c r="H54" s="1949">
        <f>项目基本情况!B43</f>
        <v>0</v>
      </c>
      <c r="I54" s="1948">
        <f>SUMIF(修正!$A$45:$A$56,H54,修正!B45:B56)</f>
        <v>0</v>
      </c>
      <c r="J54" s="1553"/>
      <c r="K54" s="2150"/>
      <c r="L54" s="2150"/>
      <c r="M54" s="2150"/>
      <c r="N54" s="2150"/>
      <c r="O54" s="2150"/>
      <c r="P54" s="2150"/>
      <c r="Q54" s="2150"/>
      <c r="R54" s="2150"/>
      <c r="S54" s="2150"/>
      <c r="T54" s="2150"/>
      <c r="U54" s="2150"/>
      <c r="V54" s="2150"/>
      <c r="W54" s="2150"/>
      <c r="X54" s="2150"/>
      <c r="Y54" s="2150"/>
      <c r="Z54" s="2150"/>
      <c r="AA54" s="2150"/>
      <c r="AB54" s="2150"/>
      <c r="AC54" s="2150"/>
    </row>
    <row r="55" spans="1:29" s="1341" customFormat="1" ht="12.75">
      <c r="A55" s="633" t="s">
        <v>560</v>
      </c>
      <c r="B55" s="634" t="e">
        <f t="shared" ref="B55:B62" si="17">ROUND($C$45*C55*D55,0)</f>
        <v>#DIV/0!</v>
      </c>
      <c r="C55" s="376">
        <f t="shared" si="16"/>
        <v>0</v>
      </c>
      <c r="D55" s="2224">
        <v>0.25</v>
      </c>
      <c r="E55" s="635"/>
      <c r="F55" s="1945" t="e">
        <f t="shared" si="15"/>
        <v>#DIV/0!</v>
      </c>
      <c r="G55" s="3492"/>
      <c r="H55" s="1950">
        <f>项目基本情况!B43</f>
        <v>0</v>
      </c>
      <c r="I55" s="1948">
        <f>SUMIF(修正!$A$45:$A$56,H55,修正!C45:C56)</f>
        <v>0</v>
      </c>
      <c r="J55" s="1553"/>
      <c r="K55" s="2150"/>
      <c r="L55" s="2150"/>
      <c r="M55" s="2150"/>
      <c r="N55" s="2150"/>
      <c r="O55" s="2150"/>
      <c r="P55" s="2150"/>
      <c r="Q55" s="2150"/>
      <c r="R55" s="2150"/>
      <c r="S55" s="2150"/>
      <c r="T55" s="2150"/>
      <c r="U55" s="2150"/>
      <c r="V55" s="2150"/>
      <c r="W55" s="2150"/>
      <c r="X55" s="2150"/>
      <c r="Y55" s="2150"/>
      <c r="Z55" s="2150"/>
      <c r="AA55" s="2150"/>
      <c r="AB55" s="2150"/>
      <c r="AC55" s="2150"/>
    </row>
    <row r="56" spans="1:29" s="1341" customFormat="1" ht="12.75">
      <c r="A56" s="633" t="s">
        <v>561</v>
      </c>
      <c r="B56" s="634" t="e">
        <f t="shared" si="17"/>
        <v>#DIV/0!</v>
      </c>
      <c r="C56" s="376">
        <f t="shared" si="16"/>
        <v>0</v>
      </c>
      <c r="D56" s="2224">
        <v>0.25</v>
      </c>
      <c r="E56" s="635"/>
      <c r="F56" s="1945" t="e">
        <f t="shared" si="15"/>
        <v>#DIV/0!</v>
      </c>
      <c r="G56" s="3492"/>
      <c r="H56" s="1950">
        <f>项目基本情况!B43</f>
        <v>0</v>
      </c>
      <c r="I56" s="1948">
        <f>SUMIF(修正!$A$45:$A$56,H56,修正!D45:D56)</f>
        <v>0</v>
      </c>
      <c r="J56" s="1553"/>
      <c r="K56" s="2150"/>
      <c r="L56" s="2150"/>
      <c r="M56" s="2150"/>
      <c r="N56" s="2150"/>
      <c r="O56" s="2150"/>
      <c r="P56" s="2150"/>
      <c r="Q56" s="2150"/>
      <c r="R56" s="2150"/>
      <c r="S56" s="2150"/>
      <c r="T56" s="2150"/>
      <c r="U56" s="2150"/>
      <c r="V56" s="2150"/>
      <c r="W56" s="2150"/>
      <c r="X56" s="2150"/>
      <c r="Y56" s="2150"/>
      <c r="Z56" s="2150"/>
      <c r="AA56" s="2150"/>
      <c r="AB56" s="2150"/>
      <c r="AC56" s="2150"/>
    </row>
    <row r="57" spans="1:29" s="1341" customFormat="1" ht="12.75">
      <c r="A57" s="633" t="s">
        <v>562</v>
      </c>
      <c r="B57" s="634" t="e">
        <f t="shared" si="17"/>
        <v>#DIV/0!</v>
      </c>
      <c r="C57" s="376">
        <f t="shared" si="16"/>
        <v>0</v>
      </c>
      <c r="D57" s="2224">
        <v>0.25</v>
      </c>
      <c r="E57" s="635"/>
      <c r="F57" s="1945" t="e">
        <f t="shared" si="15"/>
        <v>#DIV/0!</v>
      </c>
      <c r="G57" s="3492"/>
      <c r="H57" s="1950">
        <f>项目基本情况!B43</f>
        <v>0</v>
      </c>
      <c r="I57" s="1948">
        <f>SUMIF(修正!$A$45:$A$56,H57,修正!E45:E56)</f>
        <v>0</v>
      </c>
      <c r="J57" s="1553"/>
      <c r="K57" s="2150"/>
      <c r="L57" s="2150"/>
      <c r="M57" s="2150"/>
      <c r="N57" s="2150"/>
      <c r="O57" s="2150"/>
      <c r="P57" s="2150"/>
      <c r="Q57" s="2150"/>
      <c r="R57" s="2150"/>
      <c r="S57" s="2150"/>
      <c r="T57" s="2150"/>
      <c r="U57" s="2150"/>
      <c r="V57" s="2150"/>
      <c r="W57" s="2150"/>
      <c r="X57" s="2150"/>
      <c r="Y57" s="2150"/>
      <c r="Z57" s="2150"/>
      <c r="AA57" s="2150"/>
      <c r="AB57" s="2150"/>
      <c r="AC57" s="2150"/>
    </row>
    <row r="58" spans="1:29" s="1341" customFormat="1" ht="12.75">
      <c r="A58" s="2326" t="s">
        <v>2322</v>
      </c>
      <c r="B58" s="634" t="e">
        <f t="shared" si="17"/>
        <v>#DIV/0!</v>
      </c>
      <c r="C58" s="376">
        <f t="shared" si="16"/>
        <v>0</v>
      </c>
      <c r="D58" s="2224">
        <v>0.25</v>
      </c>
      <c r="E58" s="637">
        <f>'数据-汇总表'!E11</f>
        <v>0</v>
      </c>
      <c r="F58" s="1945" t="e">
        <f t="shared" si="15"/>
        <v>#DIV/0!</v>
      </c>
      <c r="G58" s="1951" t="s">
        <v>2281</v>
      </c>
      <c r="H58" s="1950">
        <f>项目基本情况!C43</f>
        <v>0</v>
      </c>
      <c r="I58" s="1948">
        <f>SUMIF(修正!$A$45:$A$56,H58,修正!F45:F56)</f>
        <v>0</v>
      </c>
      <c r="J58" s="1553"/>
      <c r="K58" s="2150"/>
      <c r="L58" s="2150"/>
      <c r="M58" s="2150"/>
      <c r="N58" s="2150"/>
      <c r="O58" s="2150"/>
      <c r="P58" s="2150"/>
      <c r="Q58" s="2150"/>
      <c r="R58" s="2150"/>
      <c r="S58" s="2150"/>
      <c r="T58" s="2150"/>
      <c r="U58" s="2150"/>
      <c r="V58" s="2150"/>
      <c r="W58" s="2150"/>
      <c r="X58" s="2150"/>
      <c r="Y58" s="2150"/>
      <c r="Z58" s="2150"/>
      <c r="AA58" s="2150"/>
      <c r="AB58" s="2150"/>
      <c r="AC58" s="2150"/>
    </row>
    <row r="59" spans="1:29" s="1341" customFormat="1" ht="12.75">
      <c r="A59" s="633" t="s">
        <v>563</v>
      </c>
      <c r="B59" s="634" t="e">
        <f t="shared" si="17"/>
        <v>#DIV/0!</v>
      </c>
      <c r="C59" s="376">
        <f t="shared" si="16"/>
        <v>0</v>
      </c>
      <c r="D59" s="2224">
        <v>0.25</v>
      </c>
      <c r="E59" s="637">
        <f>'数据-汇总表'!E12</f>
        <v>0</v>
      </c>
      <c r="F59" s="1945" t="e">
        <f t="shared" si="15"/>
        <v>#DIV/0!</v>
      </c>
      <c r="G59" s="1941" t="s">
        <v>1671</v>
      </c>
      <c r="H59" s="1949">
        <f>IF(G59="商业",项目基本情况!B43,IF(G59="办公",项目基本情况!C43,IF(G59="住宅",项目基本情况!D43,项目基本情况!E43)))</f>
        <v>0</v>
      </c>
      <c r="I59" s="1948">
        <f>SUMIF(修正!$A$45:$A$56,H59,修正!G45:G56)</f>
        <v>0</v>
      </c>
      <c r="J59" s="1553"/>
      <c r="K59" s="2150"/>
      <c r="L59" s="2150"/>
      <c r="M59" s="2150"/>
      <c r="N59" s="2150"/>
      <c r="O59" s="2150"/>
      <c r="P59" s="2150"/>
      <c r="Q59" s="2150"/>
      <c r="R59" s="2150"/>
      <c r="S59" s="2150"/>
      <c r="T59" s="2150"/>
      <c r="U59" s="2150"/>
      <c r="V59" s="2150"/>
      <c r="W59" s="2150"/>
      <c r="X59" s="2150"/>
      <c r="Y59" s="2150"/>
      <c r="Z59" s="2150"/>
      <c r="AA59" s="2150"/>
      <c r="AB59" s="2150"/>
      <c r="AC59" s="2150"/>
    </row>
    <row r="60" spans="1:29" s="1341" customFormat="1" ht="12.75">
      <c r="A60" s="633" t="s">
        <v>564</v>
      </c>
      <c r="B60" s="634" t="e">
        <f t="shared" si="17"/>
        <v>#DIV/0!</v>
      </c>
      <c r="C60" s="376">
        <f t="shared" si="16"/>
        <v>0</v>
      </c>
      <c r="D60" s="2224">
        <v>0.25</v>
      </c>
      <c r="E60" s="637">
        <f>'数据-汇总表'!E13</f>
        <v>90459.22</v>
      </c>
      <c r="F60" s="1945" t="e">
        <f t="shared" si="15"/>
        <v>#DIV/0!</v>
      </c>
      <c r="G60" s="1941" t="s">
        <v>916</v>
      </c>
      <c r="H60" s="1949">
        <f>IF(G60="商业",项目基本情况!B43,IF(G60="办公",项目基本情况!C43,IF(G60="住宅",项目基本情况!D43,项目基本情况!E43)))</f>
        <v>0</v>
      </c>
      <c r="I60" s="1948">
        <f>SUMIF(修正!$A$45:$A$56,H60,修正!H45:H56)</f>
        <v>0</v>
      </c>
      <c r="J60" s="1553"/>
      <c r="K60" s="2150"/>
      <c r="L60" s="2150"/>
      <c r="M60" s="2150"/>
      <c r="N60" s="2150"/>
      <c r="O60" s="2150"/>
      <c r="P60" s="2150"/>
      <c r="Q60" s="2150"/>
      <c r="R60" s="2150"/>
      <c r="S60" s="2150"/>
      <c r="T60" s="2150"/>
      <c r="U60" s="2150"/>
      <c r="V60" s="2150"/>
      <c r="W60" s="2150"/>
      <c r="X60" s="2150"/>
      <c r="Y60" s="2150"/>
      <c r="Z60" s="2150"/>
      <c r="AA60" s="2150"/>
      <c r="AB60" s="2150"/>
      <c r="AC60" s="2150"/>
    </row>
    <row r="61" spans="1:29" s="1341" customFormat="1" ht="12.75">
      <c r="A61" s="633" t="s">
        <v>565</v>
      </c>
      <c r="B61" s="634" t="e">
        <f t="shared" si="17"/>
        <v>#DIV/0!</v>
      </c>
      <c r="C61" s="376">
        <f t="shared" si="16"/>
        <v>0</v>
      </c>
      <c r="D61" s="2224">
        <v>0.25</v>
      </c>
      <c r="E61" s="637">
        <f>'数据-汇总表'!E14</f>
        <v>0</v>
      </c>
      <c r="F61" s="1945" t="e">
        <f t="shared" si="15"/>
        <v>#DIV/0!</v>
      </c>
      <c r="G61" s="1951" t="s">
        <v>2280</v>
      </c>
      <c r="H61" s="1950">
        <f>项目基本情况!B43</f>
        <v>0</v>
      </c>
      <c r="I61" s="1948">
        <f>SUMIF(修正!$A$45:$A$56,H61,修正!H45:H56)</f>
        <v>0</v>
      </c>
      <c r="J61" s="1553"/>
      <c r="K61" s="2150"/>
      <c r="L61" s="2150"/>
      <c r="M61" s="2150"/>
      <c r="N61" s="2150"/>
      <c r="O61" s="2150"/>
      <c r="P61" s="2150"/>
      <c r="Q61" s="2150"/>
      <c r="R61" s="2150"/>
      <c r="S61" s="2150"/>
      <c r="T61" s="2150"/>
      <c r="U61" s="2150"/>
      <c r="V61" s="2150"/>
      <c r="W61" s="2150"/>
      <c r="X61" s="2150"/>
      <c r="Y61" s="2150"/>
      <c r="Z61" s="2150"/>
      <c r="AA61" s="2150"/>
      <c r="AB61" s="2150"/>
      <c r="AC61" s="2150"/>
    </row>
    <row r="62" spans="1:29" s="1341" customFormat="1" ht="13.5" thickBot="1">
      <c r="A62" s="633" t="s">
        <v>566</v>
      </c>
      <c r="B62" s="634" t="e">
        <f t="shared" si="17"/>
        <v>#DIV/0!</v>
      </c>
      <c r="C62" s="376">
        <f t="shared" si="16"/>
        <v>0</v>
      </c>
      <c r="D62" s="2224">
        <v>0.25</v>
      </c>
      <c r="E62" s="637">
        <f>'数据-汇总表'!E15</f>
        <v>0</v>
      </c>
      <c r="F62" s="1945" t="e">
        <f t="shared" si="15"/>
        <v>#DIV/0!</v>
      </c>
      <c r="G62" s="1952" t="s">
        <v>2281</v>
      </c>
      <c r="H62" s="1953">
        <f>项目基本情况!C43</f>
        <v>0</v>
      </c>
      <c r="I62" s="1948">
        <f>SUMIF(修正!$A$45:$A$56,H62,修正!H45:H56)</f>
        <v>0</v>
      </c>
      <c r="J62" s="1553"/>
      <c r="K62" s="2150"/>
      <c r="L62" s="2150"/>
      <c r="M62" s="2150"/>
      <c r="N62" s="2150"/>
      <c r="O62" s="2150"/>
      <c r="P62" s="2150"/>
      <c r="Q62" s="2150"/>
      <c r="R62" s="2150"/>
      <c r="S62" s="2150"/>
      <c r="T62" s="2150"/>
      <c r="U62" s="2150"/>
      <c r="V62" s="2150"/>
      <c r="W62" s="2150"/>
      <c r="X62" s="2150"/>
      <c r="Y62" s="2150"/>
      <c r="Z62" s="2150"/>
      <c r="AA62" s="2150"/>
      <c r="AB62" s="2150"/>
      <c r="AC62" s="2150"/>
    </row>
    <row r="63" spans="1:29" s="1341" customFormat="1" ht="13.5" thickBot="1">
      <c r="A63" s="638" t="s">
        <v>567</v>
      </c>
      <c r="B63" s="639" t="s">
        <v>17</v>
      </c>
      <c r="C63" s="639" t="s">
        <v>18</v>
      </c>
      <c r="D63" s="639" t="s">
        <v>2289</v>
      </c>
      <c r="E63" s="639">
        <f>IF(B43="楼面地价",SUM(E53:E62),'数据-汇总表'!D3)</f>
        <v>121315.1</v>
      </c>
      <c r="F63" s="640" t="e">
        <f>IF(B43="楼面地价",SUM(F53:F62),ROUND(C45*E63/10000,0))</f>
        <v>#DIV/0!</v>
      </c>
      <c r="G63" s="2151"/>
      <c r="H63" s="2151"/>
      <c r="I63" s="2151"/>
      <c r="J63" s="2151"/>
      <c r="K63" s="2151"/>
      <c r="L63" s="2150"/>
      <c r="M63" s="2150"/>
      <c r="N63" s="2150"/>
      <c r="O63" s="2150"/>
      <c r="P63" s="2150"/>
      <c r="Q63" s="2150"/>
      <c r="R63" s="2150"/>
      <c r="S63" s="2150"/>
      <c r="T63" s="2150"/>
      <c r="U63" s="2150"/>
      <c r="V63" s="2150"/>
      <c r="W63" s="2150"/>
      <c r="X63" s="2150"/>
      <c r="Y63" s="2150"/>
      <c r="Z63" s="2150"/>
      <c r="AA63" s="2150"/>
      <c r="AB63" s="2150"/>
      <c r="AC63" s="2150"/>
    </row>
    <row r="64" spans="1:29">
      <c r="A64" s="2140"/>
      <c r="B64" s="2142"/>
      <c r="C64" s="2146"/>
      <c r="D64" s="2140"/>
      <c r="E64" s="2140"/>
      <c r="F64" s="2140"/>
      <c r="G64" s="2140"/>
      <c r="H64" s="2140"/>
      <c r="I64" s="2140"/>
      <c r="J64" s="2140"/>
      <c r="K64" s="2144"/>
      <c r="L64" s="2145"/>
      <c r="M64" s="2140"/>
      <c r="N64" s="2140"/>
      <c r="O64" s="2140"/>
      <c r="P64" s="2140"/>
      <c r="Q64" s="2140"/>
      <c r="R64" s="2140"/>
      <c r="S64" s="2140"/>
      <c r="T64" s="2140"/>
      <c r="U64" s="2140"/>
      <c r="V64" s="2140"/>
      <c r="W64" s="2140"/>
      <c r="X64" s="2140"/>
      <c r="Y64" s="2140"/>
      <c r="Z64" s="2140"/>
      <c r="AA64" s="2140"/>
      <c r="AB64" s="2140"/>
      <c r="AC64" s="2140"/>
    </row>
    <row r="65" spans="1:29">
      <c r="A65" s="2140"/>
      <c r="B65" s="2142"/>
      <c r="C65" s="2821" t="str">
        <f>YEAR(C9)&amp;"-"&amp;MONTH(C9)&amp;"-1"</f>
        <v>2017-10-1</v>
      </c>
      <c r="D65" s="2820">
        <f>EDATE(C65,-3)</f>
        <v>42917</v>
      </c>
      <c r="E65" s="2820">
        <f t="shared" ref="E65:N65" si="18">EDATE(D65,-3)</f>
        <v>42826</v>
      </c>
      <c r="F65" s="2820">
        <f t="shared" si="18"/>
        <v>42736</v>
      </c>
      <c r="G65" s="2820">
        <f t="shared" si="18"/>
        <v>42644</v>
      </c>
      <c r="H65" s="2820">
        <f t="shared" si="18"/>
        <v>42552</v>
      </c>
      <c r="I65" s="2820">
        <f t="shared" si="18"/>
        <v>42461</v>
      </c>
      <c r="J65" s="2820">
        <f t="shared" si="18"/>
        <v>42370</v>
      </c>
      <c r="K65" s="2820">
        <f t="shared" si="18"/>
        <v>42278</v>
      </c>
      <c r="L65" s="2820">
        <f t="shared" si="18"/>
        <v>42186</v>
      </c>
      <c r="M65" s="2820">
        <f t="shared" si="18"/>
        <v>42095</v>
      </c>
      <c r="N65" s="2820">
        <f t="shared" si="18"/>
        <v>42005</v>
      </c>
      <c r="O65" s="2140"/>
      <c r="P65" s="2140"/>
      <c r="Q65" s="2140"/>
      <c r="R65" s="2140"/>
      <c r="S65" s="2140"/>
      <c r="T65" s="2140"/>
      <c r="U65" s="2140"/>
      <c r="V65" s="2140"/>
      <c r="W65" s="2140"/>
      <c r="X65" s="2140"/>
      <c r="Y65" s="2140"/>
      <c r="Z65" s="2140"/>
      <c r="AA65" s="2140"/>
      <c r="AB65" s="2140"/>
      <c r="AC65" s="2140"/>
    </row>
    <row r="66" spans="1:29" ht="21.75" thickBot="1">
      <c r="A66" s="1579" t="s">
        <v>568</v>
      </c>
      <c r="B66" s="1554"/>
      <c r="C66" s="1578"/>
      <c r="D66" s="1578"/>
      <c r="E66" s="1578"/>
      <c r="F66" s="1580"/>
      <c r="G66" s="1580"/>
      <c r="H66" s="1578"/>
      <c r="I66" s="1578"/>
      <c r="J66" s="1578"/>
      <c r="K66" s="1581"/>
      <c r="L66" s="1577"/>
      <c r="M66" s="1578"/>
      <c r="N66" s="1578"/>
      <c r="O66" s="2152"/>
      <c r="P66" s="2152"/>
      <c r="Q66" s="2153"/>
      <c r="R66" s="2140"/>
      <c r="S66" s="2140"/>
      <c r="T66" s="2140"/>
      <c r="U66" s="2140"/>
      <c r="V66" s="2140"/>
      <c r="W66" s="2140"/>
      <c r="X66" s="2140"/>
      <c r="Y66" s="2140"/>
      <c r="Z66" s="2140"/>
      <c r="AA66" s="2140"/>
      <c r="AB66" s="2140"/>
      <c r="AC66" s="2140"/>
    </row>
    <row r="67" spans="1:29" s="1342" customFormat="1" ht="15">
      <c r="A67" s="2587" t="s">
        <v>2530</v>
      </c>
      <c r="B67" s="642"/>
      <c r="C67" s="2815" t="str">
        <f>YEAR(C65)&amp;"-"&amp;ROUNDUP(MONTH(C65)/3,0)</f>
        <v>2017-4</v>
      </c>
      <c r="D67" s="2822" t="str">
        <f t="shared" ref="D67:N67" si="19">YEAR(D65)&amp;"-"&amp;ROUNDUP(MONTH(D65)/3,0)</f>
        <v>2017-3</v>
      </c>
      <c r="E67" s="2822" t="str">
        <f t="shared" si="19"/>
        <v>2017-2</v>
      </c>
      <c r="F67" s="2822" t="str">
        <f t="shared" si="19"/>
        <v>2017-1</v>
      </c>
      <c r="G67" s="2822" t="str">
        <f t="shared" si="19"/>
        <v>2016-4</v>
      </c>
      <c r="H67" s="2822" t="str">
        <f t="shared" si="19"/>
        <v>2016-3</v>
      </c>
      <c r="I67" s="2822" t="str">
        <f t="shared" si="19"/>
        <v>2016-2</v>
      </c>
      <c r="J67" s="2822" t="str">
        <f t="shared" si="19"/>
        <v>2016-1</v>
      </c>
      <c r="K67" s="2822" t="str">
        <f t="shared" si="19"/>
        <v>2015-4</v>
      </c>
      <c r="L67" s="2822" t="str">
        <f t="shared" si="19"/>
        <v>2015-3</v>
      </c>
      <c r="M67" s="2822" t="str">
        <f t="shared" si="19"/>
        <v>2015-2</v>
      </c>
      <c r="N67" s="2822" t="str">
        <f t="shared" si="19"/>
        <v>2015-1</v>
      </c>
      <c r="O67" s="2154"/>
      <c r="P67" s="2155"/>
      <c r="Q67" s="2156"/>
      <c r="R67" s="2156"/>
      <c r="S67" s="2156"/>
      <c r="T67" s="2156"/>
      <c r="U67" s="2156"/>
      <c r="V67" s="2156"/>
      <c r="W67" s="2156"/>
      <c r="X67" s="2156"/>
      <c r="Y67" s="2156"/>
      <c r="Z67" s="2156"/>
      <c r="AA67" s="2156"/>
      <c r="AB67" s="2156"/>
      <c r="AC67" s="2156"/>
    </row>
    <row r="68" spans="1:29" s="1215" customFormat="1" ht="27.75" customHeight="1">
      <c r="A68" s="2819" t="s">
        <v>2648</v>
      </c>
      <c r="B68" s="477" t="str">
        <f>"北京市平均增长率"&amp;TEXT(基准地价!P24,"0.00%")</f>
        <v>北京市平均增长率1.39%</v>
      </c>
      <c r="C68" s="889">
        <v>100</v>
      </c>
      <c r="D68" s="726"/>
      <c r="E68" s="726"/>
      <c r="F68" s="726"/>
      <c r="G68" s="726"/>
      <c r="H68" s="726"/>
      <c r="I68" s="726"/>
      <c r="J68" s="726"/>
      <c r="K68" s="726"/>
      <c r="L68" s="726"/>
      <c r="M68" s="2813"/>
      <c r="N68" s="2814"/>
      <c r="O68" s="2157"/>
      <c r="P68" s="2153"/>
      <c r="Q68" s="1988"/>
      <c r="R68" s="1988"/>
      <c r="S68" s="1988"/>
      <c r="T68" s="1988"/>
      <c r="U68" s="1988"/>
      <c r="V68" s="1988"/>
      <c r="W68" s="1988"/>
      <c r="X68" s="1988"/>
      <c r="Y68" s="1988"/>
      <c r="Z68" s="1988"/>
      <c r="AA68" s="1988"/>
      <c r="AB68" s="1988"/>
      <c r="AC68" s="1988"/>
    </row>
    <row r="69" spans="1:29" s="1215" customFormat="1" ht="15.75" thickBot="1">
      <c r="A69" s="649" t="s">
        <v>569</v>
      </c>
      <c r="B69" s="650"/>
      <c r="C69" s="2811"/>
      <c r="D69" s="2812"/>
      <c r="E69" s="2812"/>
      <c r="F69" s="2812"/>
      <c r="G69" s="2812"/>
      <c r="H69" s="2812"/>
      <c r="I69" s="2812"/>
      <c r="J69" s="2812"/>
      <c r="K69" s="2812"/>
      <c r="L69" s="2812"/>
      <c r="M69" s="2812"/>
      <c r="N69" s="2812"/>
      <c r="O69" s="2157"/>
      <c r="P69" s="2153"/>
      <c r="Q69" s="2153"/>
      <c r="R69" s="1988"/>
      <c r="S69" s="1988"/>
      <c r="T69" s="1988"/>
      <c r="U69" s="1988"/>
      <c r="V69" s="1988"/>
      <c r="W69" s="1988"/>
      <c r="X69" s="1988"/>
      <c r="Y69" s="1988"/>
      <c r="Z69" s="1988"/>
      <c r="AA69" s="1988"/>
      <c r="AB69" s="1988"/>
      <c r="AC69" s="1988"/>
    </row>
    <row r="70" spans="1:29" s="1215" customFormat="1" ht="15">
      <c r="A70" s="655" t="s">
        <v>525</v>
      </c>
      <c r="B70" s="644"/>
      <c r="C70" s="656" t="s">
        <v>570</v>
      </c>
      <c r="D70" s="657"/>
      <c r="E70" s="657"/>
      <c r="F70" s="657"/>
      <c r="G70" s="657"/>
      <c r="H70" s="657"/>
      <c r="I70" s="657"/>
      <c r="J70" s="657"/>
      <c r="K70" s="657"/>
      <c r="L70" s="658"/>
      <c r="M70" s="659"/>
      <c r="N70" s="2157"/>
      <c r="O70" s="2157"/>
      <c r="P70" s="2158"/>
      <c r="Q70" s="2153"/>
      <c r="R70" s="1988"/>
      <c r="S70" s="1988"/>
      <c r="T70" s="1988"/>
      <c r="U70" s="1988"/>
      <c r="V70" s="1988"/>
      <c r="W70" s="1988"/>
      <c r="X70" s="1988"/>
      <c r="Y70" s="1988"/>
      <c r="Z70" s="1988"/>
      <c r="AA70" s="1988"/>
      <c r="AB70" s="1988"/>
      <c r="AC70" s="1988"/>
    </row>
    <row r="71" spans="1:29" s="1215" customFormat="1" ht="15.75" thickBot="1">
      <c r="A71" s="655"/>
      <c r="B71" s="644"/>
      <c r="C71" s="645">
        <v>100</v>
      </c>
      <c r="D71" s="646"/>
      <c r="E71" s="646"/>
      <c r="F71" s="646"/>
      <c r="G71" s="646"/>
      <c r="H71" s="646"/>
      <c r="I71" s="646"/>
      <c r="J71" s="646"/>
      <c r="K71" s="646"/>
      <c r="L71" s="646"/>
      <c r="M71" s="648"/>
      <c r="N71" s="2157"/>
      <c r="O71" s="2157"/>
      <c r="P71" s="2153"/>
      <c r="Q71" s="2153"/>
      <c r="R71" s="1988"/>
      <c r="S71" s="1988"/>
      <c r="T71" s="1988"/>
      <c r="U71" s="1988"/>
      <c r="V71" s="1988"/>
      <c r="W71" s="1988"/>
      <c r="X71" s="1988"/>
      <c r="Y71" s="1988"/>
      <c r="Z71" s="1988"/>
      <c r="AA71" s="1988"/>
      <c r="AB71" s="1988"/>
      <c r="AC71" s="1988"/>
    </row>
    <row r="72" spans="1:29">
      <c r="A72" s="660" t="s">
        <v>571</v>
      </c>
      <c r="B72" s="661" t="s">
        <v>528</v>
      </c>
      <c r="C72" s="594"/>
      <c r="D72" s="594"/>
      <c r="E72" s="594"/>
      <c r="F72" s="594"/>
      <c r="G72" s="594"/>
      <c r="H72" s="594"/>
      <c r="I72" s="594"/>
      <c r="J72" s="594"/>
      <c r="K72" s="662"/>
      <c r="L72" s="663"/>
      <c r="M72" s="664"/>
      <c r="N72" s="2159"/>
      <c r="O72" s="2159"/>
      <c r="P72" s="2160"/>
      <c r="Q72" s="2153"/>
      <c r="R72" s="2140"/>
      <c r="S72" s="2140"/>
      <c r="T72" s="2140"/>
      <c r="U72" s="2140"/>
      <c r="V72" s="2140"/>
      <c r="W72" s="2140"/>
      <c r="X72" s="2140"/>
      <c r="Y72" s="2140"/>
      <c r="Z72" s="2140"/>
      <c r="AA72" s="2140"/>
      <c r="AB72" s="2140"/>
      <c r="AC72" s="2140"/>
    </row>
    <row r="73" spans="1:29" ht="15.75" thickBot="1">
      <c r="A73" s="665"/>
      <c r="B73" s="666"/>
      <c r="C73" s="667"/>
      <c r="D73" s="667"/>
      <c r="E73" s="667"/>
      <c r="F73" s="667"/>
      <c r="G73" s="667"/>
      <c r="H73" s="667"/>
      <c r="I73" s="667"/>
      <c r="J73" s="667"/>
      <c r="K73" s="667"/>
      <c r="L73" s="667"/>
      <c r="M73" s="668"/>
      <c r="N73" s="2161"/>
      <c r="O73" s="2161"/>
      <c r="P73" s="2160"/>
      <c r="Q73" s="2153"/>
      <c r="R73" s="2140"/>
      <c r="S73" s="2140"/>
      <c r="T73" s="2140"/>
      <c r="U73" s="2140"/>
      <c r="V73" s="2140"/>
      <c r="W73" s="2140"/>
      <c r="X73" s="2140"/>
      <c r="Y73" s="2140"/>
      <c r="Z73" s="2140"/>
      <c r="AA73" s="2140"/>
      <c r="AB73" s="2140"/>
      <c r="AC73" s="2140"/>
    </row>
    <row r="74" spans="1:29" ht="27.75" thickTop="1">
      <c r="A74" s="665"/>
      <c r="B74" s="669" t="s">
        <v>531</v>
      </c>
      <c r="C74" s="670"/>
      <c r="D74" s="670"/>
      <c r="E74" s="670"/>
      <c r="F74" s="670"/>
      <c r="G74" s="670"/>
      <c r="H74" s="670"/>
      <c r="I74" s="670"/>
      <c r="J74" s="670"/>
      <c r="K74" s="671"/>
      <c r="L74" s="672"/>
      <c r="M74" s="673"/>
      <c r="N74" s="2159"/>
      <c r="O74" s="2159"/>
      <c r="P74" s="2160"/>
      <c r="Q74" s="2153"/>
      <c r="R74" s="2140"/>
      <c r="S74" s="2140"/>
      <c r="T74" s="2140"/>
      <c r="U74" s="2140"/>
      <c r="V74" s="2140"/>
      <c r="W74" s="2140"/>
      <c r="X74" s="2140"/>
      <c r="Y74" s="2140"/>
      <c r="Z74" s="2140"/>
      <c r="AA74" s="2140"/>
      <c r="AB74" s="2140"/>
      <c r="AC74" s="2140"/>
    </row>
    <row r="75" spans="1:29" ht="15.75" thickBot="1">
      <c r="A75" s="665"/>
      <c r="B75" s="674"/>
      <c r="C75" s="675"/>
      <c r="D75" s="675"/>
      <c r="E75" s="675"/>
      <c r="F75" s="675"/>
      <c r="G75" s="675"/>
      <c r="H75" s="675"/>
      <c r="I75" s="675"/>
      <c r="J75" s="675"/>
      <c r="K75" s="675"/>
      <c r="L75" s="675"/>
      <c r="M75" s="676"/>
      <c r="N75" s="2161"/>
      <c r="O75" s="2161"/>
      <c r="P75" s="2160"/>
      <c r="Q75" s="2153"/>
      <c r="R75" s="2140"/>
      <c r="S75" s="2140"/>
      <c r="T75" s="2140"/>
      <c r="U75" s="2140"/>
      <c r="V75" s="2140"/>
      <c r="W75" s="2140"/>
      <c r="X75" s="2140"/>
      <c r="Y75" s="2140"/>
      <c r="Z75" s="2140"/>
      <c r="AA75" s="2140"/>
      <c r="AB75" s="2140"/>
      <c r="AC75" s="2140"/>
    </row>
    <row r="76" spans="1:29" ht="15.75" thickTop="1">
      <c r="A76" s="665"/>
      <c r="B76" s="677" t="s">
        <v>532</v>
      </c>
      <c r="C76" s="678" t="str">
        <f>C77&amp;"（含）"&amp;"-"&amp;D77</f>
        <v>（含）-</v>
      </c>
      <c r="D76" s="678" t="str">
        <f t="shared" ref="D76:L76" si="20">D77&amp;"（含）"&amp;"-"&amp;E77</f>
        <v>（含）-</v>
      </c>
      <c r="E76" s="678" t="str">
        <f t="shared" si="20"/>
        <v>（含）-</v>
      </c>
      <c r="F76" s="678" t="str">
        <f t="shared" si="20"/>
        <v>（含）-</v>
      </c>
      <c r="G76" s="678" t="str">
        <f t="shared" si="20"/>
        <v>（含）-</v>
      </c>
      <c r="H76" s="678" t="str">
        <f t="shared" si="20"/>
        <v>（含）-</v>
      </c>
      <c r="I76" s="678" t="str">
        <f t="shared" si="20"/>
        <v>（含）-</v>
      </c>
      <c r="J76" s="678" t="str">
        <f t="shared" si="20"/>
        <v>（含）-</v>
      </c>
      <c r="K76" s="678" t="str">
        <f t="shared" si="20"/>
        <v>（含）-</v>
      </c>
      <c r="L76" s="678" t="str">
        <f t="shared" si="20"/>
        <v>（含）-</v>
      </c>
      <c r="M76" s="551" t="str">
        <f>M77&amp;"（含）"&amp;"-"&amp;P77</f>
        <v>（含）-</v>
      </c>
      <c r="N76" s="2161"/>
      <c r="O76" s="2161"/>
      <c r="P76" s="2160"/>
      <c r="Q76" s="2153"/>
      <c r="R76" s="2140"/>
      <c r="S76" s="2140"/>
      <c r="T76" s="2140"/>
      <c r="U76" s="2140"/>
      <c r="V76" s="2140"/>
      <c r="W76" s="2140"/>
      <c r="X76" s="2140"/>
      <c r="Y76" s="2140"/>
      <c r="Z76" s="2140"/>
      <c r="AA76" s="2140"/>
      <c r="AB76" s="2140"/>
      <c r="AC76" s="2140"/>
    </row>
    <row r="77" spans="1:29" ht="15">
      <c r="A77" s="665"/>
      <c r="B77" s="679"/>
      <c r="C77" s="537"/>
      <c r="D77" s="537"/>
      <c r="E77" s="537"/>
      <c r="F77" s="537"/>
      <c r="G77" s="537"/>
      <c r="H77" s="537"/>
      <c r="I77" s="537"/>
      <c r="J77" s="537"/>
      <c r="K77" s="680"/>
      <c r="L77" s="681"/>
      <c r="M77" s="682"/>
      <c r="N77" s="2159"/>
      <c r="O77" s="2159"/>
      <c r="P77" s="2160"/>
      <c r="Q77" s="2153"/>
      <c r="R77" s="2140"/>
      <c r="S77" s="2140"/>
      <c r="T77" s="2140"/>
      <c r="U77" s="2140"/>
      <c r="V77" s="2140"/>
      <c r="W77" s="2140"/>
      <c r="X77" s="2140"/>
      <c r="Y77" s="2140"/>
      <c r="Z77" s="2140"/>
      <c r="AA77" s="2140"/>
      <c r="AB77" s="2140"/>
      <c r="AC77" s="2140"/>
    </row>
    <row r="78" spans="1:29" ht="15.75" thickBot="1">
      <c r="A78" s="665"/>
      <c r="B78" s="666"/>
      <c r="C78" s="675">
        <v>100</v>
      </c>
      <c r="D78" s="675">
        <f>IF($B$43="单位面积地价",C78+$K13,C78-$K13)</f>
        <v>100</v>
      </c>
      <c r="E78" s="675">
        <f t="shared" ref="E78:M78" si="21">IF($B$43="单位面积地价",D78+$K13,D78-$K13)</f>
        <v>100</v>
      </c>
      <c r="F78" s="675">
        <f t="shared" si="21"/>
        <v>100</v>
      </c>
      <c r="G78" s="675">
        <f t="shared" si="21"/>
        <v>100</v>
      </c>
      <c r="H78" s="675">
        <f t="shared" si="21"/>
        <v>100</v>
      </c>
      <c r="I78" s="675">
        <f t="shared" si="21"/>
        <v>100</v>
      </c>
      <c r="J78" s="675">
        <f t="shared" si="21"/>
        <v>100</v>
      </c>
      <c r="K78" s="675">
        <f t="shared" si="21"/>
        <v>100</v>
      </c>
      <c r="L78" s="675">
        <f t="shared" si="21"/>
        <v>100</v>
      </c>
      <c r="M78" s="675">
        <f t="shared" si="21"/>
        <v>100</v>
      </c>
      <c r="N78" s="2161"/>
      <c r="O78" s="2161"/>
      <c r="P78" s="2160"/>
      <c r="Q78" s="2153"/>
      <c r="R78" s="2140"/>
      <c r="S78" s="2140"/>
      <c r="T78" s="2140"/>
      <c r="U78" s="2140"/>
      <c r="V78" s="2140"/>
      <c r="W78" s="2140"/>
      <c r="X78" s="2140"/>
      <c r="Y78" s="2140"/>
      <c r="Z78" s="2140"/>
      <c r="AA78" s="2140"/>
      <c r="AB78" s="2140"/>
      <c r="AC78" s="2140"/>
    </row>
    <row r="79" spans="1:29" s="1334" customFormat="1" ht="15.75" thickTop="1">
      <c r="A79" s="683"/>
      <c r="B79" s="669">
        <f>B14</f>
        <v>111</v>
      </c>
      <c r="C79" s="684"/>
      <c r="D79" s="684"/>
      <c r="E79" s="684"/>
      <c r="F79" s="684"/>
      <c r="G79" s="684"/>
      <c r="H79" s="685"/>
      <c r="I79" s="685"/>
      <c r="J79" s="685"/>
      <c r="K79" s="685"/>
      <c r="L79" s="686"/>
      <c r="M79" s="687"/>
      <c r="N79" s="2162"/>
      <c r="O79" s="2162"/>
      <c r="P79" s="2163"/>
      <c r="Q79" s="2164"/>
      <c r="R79" s="2165"/>
      <c r="S79" s="2165"/>
      <c r="T79" s="2165"/>
      <c r="U79" s="2165"/>
      <c r="V79" s="2165"/>
      <c r="W79" s="2165"/>
      <c r="X79" s="2165"/>
      <c r="Y79" s="2165"/>
      <c r="Z79" s="2165"/>
      <c r="AA79" s="2165"/>
      <c r="AB79" s="2165"/>
      <c r="AC79" s="2165"/>
    </row>
    <row r="80" spans="1:29" s="1334" customFormat="1" ht="15.75" thickBot="1">
      <c r="A80" s="683"/>
      <c r="B80" s="674"/>
      <c r="C80" s="688"/>
      <c r="D80" s="667"/>
      <c r="E80" s="667"/>
      <c r="F80" s="667"/>
      <c r="G80" s="667"/>
      <c r="H80" s="667"/>
      <c r="I80" s="667"/>
      <c r="J80" s="667"/>
      <c r="K80" s="667"/>
      <c r="L80" s="667"/>
      <c r="M80" s="668"/>
      <c r="N80" s="2161"/>
      <c r="O80" s="2161"/>
      <c r="P80" s="2163"/>
      <c r="Q80" s="2164"/>
      <c r="R80" s="2165"/>
      <c r="S80" s="2165"/>
      <c r="T80" s="2165"/>
      <c r="U80" s="2165"/>
      <c r="V80" s="2165"/>
      <c r="W80" s="2165"/>
      <c r="X80" s="2165"/>
      <c r="Y80" s="2165"/>
      <c r="Z80" s="2165"/>
      <c r="AA80" s="2165"/>
      <c r="AB80" s="2165"/>
      <c r="AC80" s="2165"/>
    </row>
    <row r="81" spans="1:29" s="1334" customFormat="1" ht="15.75" thickTop="1">
      <c r="A81" s="683"/>
      <c r="B81" s="669">
        <f>B15</f>
        <v>111</v>
      </c>
      <c r="C81" s="684"/>
      <c r="D81" s="684"/>
      <c r="E81" s="684"/>
      <c r="F81" s="684"/>
      <c r="G81" s="684"/>
      <c r="H81" s="685"/>
      <c r="I81" s="685"/>
      <c r="J81" s="685"/>
      <c r="K81" s="685"/>
      <c r="L81" s="686"/>
      <c r="M81" s="687"/>
      <c r="N81" s="2162"/>
      <c r="O81" s="2162"/>
      <c r="P81" s="2166"/>
      <c r="Q81" s="2167"/>
      <c r="R81" s="2165"/>
      <c r="S81" s="2165"/>
      <c r="T81" s="2165"/>
      <c r="U81" s="2165"/>
      <c r="V81" s="2165"/>
      <c r="W81" s="2165"/>
      <c r="X81" s="2165"/>
      <c r="Y81" s="2165"/>
      <c r="Z81" s="2165"/>
      <c r="AA81" s="2165"/>
      <c r="AB81" s="2165"/>
      <c r="AC81" s="2165"/>
    </row>
    <row r="82" spans="1:29" s="1334" customFormat="1" ht="15.75" thickBot="1">
      <c r="A82" s="683"/>
      <c r="B82" s="674"/>
      <c r="C82" s="688"/>
      <c r="D82" s="688"/>
      <c r="E82" s="688"/>
      <c r="F82" s="688"/>
      <c r="G82" s="688"/>
      <c r="H82" s="689"/>
      <c r="I82" s="689"/>
      <c r="J82" s="689"/>
      <c r="K82" s="689"/>
      <c r="L82" s="689"/>
      <c r="M82" s="690"/>
      <c r="N82" s="2162"/>
      <c r="O82" s="2162"/>
      <c r="P82" s="2163"/>
      <c r="Q82" s="2164"/>
      <c r="R82" s="2165"/>
      <c r="S82" s="2165"/>
      <c r="T82" s="2165"/>
      <c r="U82" s="2165"/>
      <c r="V82" s="2165"/>
      <c r="W82" s="2165"/>
      <c r="X82" s="2165"/>
      <c r="Y82" s="2165"/>
      <c r="Z82" s="2165"/>
      <c r="AA82" s="2165"/>
      <c r="AB82" s="2165"/>
      <c r="AC82" s="2165"/>
    </row>
    <row r="83" spans="1:29" s="1334" customFormat="1" ht="15.75" thickTop="1">
      <c r="A83" s="683"/>
      <c r="B83" s="677">
        <f>B16</f>
        <v>111</v>
      </c>
      <c r="C83" s="657"/>
      <c r="D83" s="657"/>
      <c r="E83" s="657"/>
      <c r="F83" s="657"/>
      <c r="G83" s="657"/>
      <c r="H83" s="691"/>
      <c r="I83" s="691"/>
      <c r="J83" s="691"/>
      <c r="K83" s="691"/>
      <c r="L83" s="692"/>
      <c r="M83" s="693"/>
      <c r="N83" s="2162"/>
      <c r="O83" s="2162"/>
      <c r="P83" s="2168"/>
      <c r="Q83" s="2164"/>
      <c r="R83" s="2165"/>
      <c r="S83" s="2165"/>
      <c r="T83" s="2165"/>
      <c r="U83" s="2165"/>
      <c r="V83" s="2165"/>
      <c r="W83" s="2165"/>
      <c r="X83" s="2165"/>
      <c r="Y83" s="2165"/>
      <c r="Z83" s="2165"/>
      <c r="AA83" s="2165"/>
      <c r="AB83" s="2165"/>
      <c r="AC83" s="2165"/>
    </row>
    <row r="84" spans="1:29" s="1334" customFormat="1" ht="15.75" thickBot="1">
      <c r="A84" s="694"/>
      <c r="B84" s="695"/>
      <c r="C84" s="696"/>
      <c r="D84" s="696"/>
      <c r="E84" s="696"/>
      <c r="F84" s="696"/>
      <c r="G84" s="696"/>
      <c r="H84" s="697"/>
      <c r="I84" s="697"/>
      <c r="J84" s="697"/>
      <c r="K84" s="697"/>
      <c r="L84" s="697"/>
      <c r="M84" s="698"/>
      <c r="N84" s="2162"/>
      <c r="O84" s="2162"/>
      <c r="P84" s="2163"/>
      <c r="Q84" s="2164"/>
      <c r="R84" s="2165"/>
      <c r="S84" s="2165"/>
      <c r="T84" s="2165"/>
      <c r="U84" s="2165"/>
      <c r="V84" s="2165"/>
      <c r="W84" s="2165"/>
      <c r="X84" s="2165"/>
      <c r="Y84" s="2165"/>
      <c r="Z84" s="2165"/>
      <c r="AA84" s="2165"/>
      <c r="AB84" s="2165"/>
      <c r="AC84" s="2165"/>
    </row>
    <row r="85" spans="1:29">
      <c r="A85" s="660" t="s">
        <v>533</v>
      </c>
      <c r="B85" s="661" t="s">
        <v>596</v>
      </c>
      <c r="C85" s="699" t="s">
        <v>573</v>
      </c>
      <c r="D85" s="699" t="s">
        <v>574</v>
      </c>
      <c r="E85" s="699" t="s">
        <v>575</v>
      </c>
      <c r="F85" s="699" t="s">
        <v>576</v>
      </c>
      <c r="G85" s="699" t="s">
        <v>577</v>
      </c>
      <c r="H85" s="700"/>
      <c r="I85" s="700"/>
      <c r="J85" s="700"/>
      <c r="K85" s="701"/>
      <c r="L85" s="702"/>
      <c r="M85" s="703"/>
      <c r="N85" s="2159"/>
      <c r="O85" s="2159"/>
      <c r="P85" s="2169"/>
      <c r="Q85" s="2153"/>
      <c r="R85" s="2140"/>
      <c r="S85" s="2140"/>
      <c r="T85" s="2140"/>
      <c r="U85" s="2140"/>
      <c r="V85" s="2140"/>
      <c r="W85" s="2140"/>
      <c r="X85" s="2140"/>
      <c r="Y85" s="2140"/>
      <c r="Z85" s="2140"/>
      <c r="AA85" s="2140"/>
      <c r="AB85" s="2140"/>
      <c r="AC85" s="2140"/>
    </row>
    <row r="86" spans="1:29" ht="15.75" thickBot="1">
      <c r="A86" s="665"/>
      <c r="B86" s="674"/>
      <c r="C86" s="675">
        <v>100</v>
      </c>
      <c r="D86" s="675">
        <f>C86-$K17</f>
        <v>100</v>
      </c>
      <c r="E86" s="675">
        <f>D86-$K17</f>
        <v>100</v>
      </c>
      <c r="F86" s="675">
        <f>E86-$K17</f>
        <v>100</v>
      </c>
      <c r="G86" s="675">
        <f>F86-$K17</f>
        <v>100</v>
      </c>
      <c r="H86" s="675"/>
      <c r="I86" s="675"/>
      <c r="J86" s="675"/>
      <c r="K86" s="675"/>
      <c r="L86" s="675"/>
      <c r="M86" s="676"/>
      <c r="N86" s="2161"/>
      <c r="O86" s="2161"/>
      <c r="P86" s="2160"/>
      <c r="Q86" s="2153"/>
      <c r="R86" s="2140"/>
      <c r="S86" s="2140"/>
      <c r="T86" s="2140"/>
      <c r="U86" s="2140"/>
      <c r="V86" s="2140"/>
      <c r="W86" s="2140"/>
      <c r="X86" s="2140"/>
      <c r="Y86" s="2140"/>
      <c r="Z86" s="2140"/>
      <c r="AA86" s="2140"/>
      <c r="AB86" s="2140"/>
      <c r="AC86" s="2140"/>
    </row>
    <row r="87" spans="1:29" ht="15.75" thickTop="1">
      <c r="A87" s="665"/>
      <c r="B87" s="669" t="s">
        <v>580</v>
      </c>
      <c r="C87" s="704" t="s">
        <v>573</v>
      </c>
      <c r="D87" s="704" t="s">
        <v>574</v>
      </c>
      <c r="E87" s="704" t="s">
        <v>575</v>
      </c>
      <c r="F87" s="704" t="s">
        <v>576</v>
      </c>
      <c r="G87" s="704" t="s">
        <v>577</v>
      </c>
      <c r="H87" s="670"/>
      <c r="I87" s="670"/>
      <c r="J87" s="670"/>
      <c r="K87" s="671"/>
      <c r="L87" s="672"/>
      <c r="M87" s="673"/>
      <c r="N87" s="2159"/>
      <c r="O87" s="2159"/>
      <c r="P87" s="2160"/>
      <c r="Q87" s="2153"/>
      <c r="R87" s="2140"/>
      <c r="S87" s="2140"/>
      <c r="T87" s="2140"/>
      <c r="U87" s="2140"/>
      <c r="V87" s="2140"/>
      <c r="W87" s="2140"/>
      <c r="X87" s="2140"/>
      <c r="Y87" s="2140"/>
      <c r="Z87" s="2140"/>
      <c r="AA87" s="2140"/>
      <c r="AB87" s="2140"/>
      <c r="AC87" s="2140"/>
    </row>
    <row r="88" spans="1:29" ht="15.75" thickBot="1">
      <c r="A88" s="665"/>
      <c r="B88" s="674"/>
      <c r="C88" s="675">
        <v>100</v>
      </c>
      <c r="D88" s="675">
        <f>C88-$K19</f>
        <v>100</v>
      </c>
      <c r="E88" s="675">
        <f>D88-$K19</f>
        <v>100</v>
      </c>
      <c r="F88" s="675">
        <f>E88-$K19</f>
        <v>100</v>
      </c>
      <c r="G88" s="675">
        <f>F88-$K19</f>
        <v>100</v>
      </c>
      <c r="H88" s="675"/>
      <c r="I88" s="675"/>
      <c r="J88" s="675"/>
      <c r="K88" s="675"/>
      <c r="L88" s="675"/>
      <c r="M88" s="676"/>
      <c r="N88" s="2161"/>
      <c r="O88" s="2161"/>
      <c r="P88" s="2160"/>
      <c r="Q88" s="2153"/>
      <c r="R88" s="2140"/>
      <c r="S88" s="2140"/>
      <c r="T88" s="2140"/>
      <c r="U88" s="2140"/>
      <c r="V88" s="2140"/>
      <c r="W88" s="2140"/>
      <c r="X88" s="2140"/>
      <c r="Y88" s="2140"/>
      <c r="Z88" s="2140"/>
      <c r="AA88" s="2140"/>
      <c r="AB88" s="2140"/>
      <c r="AC88" s="2140"/>
    </row>
    <row r="89" spans="1:29" s="1215" customFormat="1" ht="27.75" thickTop="1">
      <c r="A89" s="705"/>
      <c r="B89" s="669" t="s">
        <v>581</v>
      </c>
      <c r="C89" s="704" t="s">
        <v>573</v>
      </c>
      <c r="D89" s="704" t="s">
        <v>574</v>
      </c>
      <c r="E89" s="704" t="s">
        <v>575</v>
      </c>
      <c r="F89" s="704" t="s">
        <v>576</v>
      </c>
      <c r="G89" s="704" t="s">
        <v>577</v>
      </c>
      <c r="H89" s="704"/>
      <c r="I89" s="704"/>
      <c r="J89" s="704"/>
      <c r="K89" s="704"/>
      <c r="L89" s="706"/>
      <c r="M89" s="707"/>
      <c r="N89" s="2157"/>
      <c r="O89" s="2157"/>
      <c r="P89" s="2160"/>
      <c r="Q89" s="2153"/>
      <c r="R89" s="1988"/>
      <c r="S89" s="1988"/>
      <c r="T89" s="1988"/>
      <c r="U89" s="1988"/>
      <c r="V89" s="1988"/>
      <c r="W89" s="1988"/>
      <c r="X89" s="1988"/>
      <c r="Y89" s="1988"/>
      <c r="Z89" s="1988"/>
      <c r="AA89" s="1988"/>
      <c r="AB89" s="1988"/>
      <c r="AC89" s="1988"/>
    </row>
    <row r="90" spans="1:29" s="1215" customFormat="1" ht="15.75" thickBot="1">
      <c r="A90" s="705"/>
      <c r="B90" s="674"/>
      <c r="C90" s="708">
        <v>100</v>
      </c>
      <c r="D90" s="675">
        <f>C90-$K21</f>
        <v>100</v>
      </c>
      <c r="E90" s="675">
        <f>D90-$K21</f>
        <v>100</v>
      </c>
      <c r="F90" s="675">
        <f>E90-$K21</f>
        <v>100</v>
      </c>
      <c r="G90" s="675">
        <f>F90-$K21</f>
        <v>100</v>
      </c>
      <c r="H90" s="675"/>
      <c r="I90" s="675"/>
      <c r="J90" s="675"/>
      <c r="K90" s="675"/>
      <c r="L90" s="675"/>
      <c r="M90" s="676"/>
      <c r="N90" s="2161"/>
      <c r="O90" s="2161"/>
      <c r="P90" s="2160"/>
      <c r="Q90" s="2153"/>
      <c r="R90" s="1988"/>
      <c r="S90" s="1988"/>
      <c r="T90" s="1988"/>
      <c r="U90" s="1988"/>
      <c r="V90" s="1988"/>
      <c r="W90" s="1988"/>
      <c r="X90" s="1988"/>
      <c r="Y90" s="1988"/>
      <c r="Z90" s="1988"/>
      <c r="AA90" s="1988"/>
      <c r="AB90" s="1988"/>
      <c r="AC90" s="1988"/>
    </row>
    <row r="91" spans="1:29" s="1215" customFormat="1" ht="27.75" thickTop="1">
      <c r="A91" s="705"/>
      <c r="B91" s="669" t="s">
        <v>582</v>
      </c>
      <c r="C91" s="699" t="s">
        <v>573</v>
      </c>
      <c r="D91" s="699" t="s">
        <v>574</v>
      </c>
      <c r="E91" s="699" t="s">
        <v>575</v>
      </c>
      <c r="F91" s="699" t="s">
        <v>576</v>
      </c>
      <c r="G91" s="699" t="s">
        <v>577</v>
      </c>
      <c r="H91" s="704"/>
      <c r="I91" s="704"/>
      <c r="J91" s="704"/>
      <c r="K91" s="704"/>
      <c r="L91" s="704"/>
      <c r="M91" s="707"/>
      <c r="N91" s="2157"/>
      <c r="O91" s="2157"/>
      <c r="P91" s="2160"/>
      <c r="Q91" s="2153"/>
      <c r="R91" s="1988"/>
      <c r="S91" s="1988"/>
      <c r="T91" s="1988"/>
      <c r="U91" s="1988"/>
      <c r="V91" s="1988"/>
      <c r="W91" s="1988"/>
      <c r="X91" s="1988"/>
      <c r="Y91" s="1988"/>
      <c r="Z91" s="1988"/>
      <c r="AA91" s="1988"/>
      <c r="AB91" s="1988"/>
      <c r="AC91" s="1988"/>
    </row>
    <row r="92" spans="1:29" s="1215" customFormat="1" ht="15.75" thickBot="1">
      <c r="A92" s="705"/>
      <c r="B92" s="674"/>
      <c r="C92" s="675">
        <v>100</v>
      </c>
      <c r="D92" s="675">
        <f>C92-$K23</f>
        <v>100</v>
      </c>
      <c r="E92" s="675">
        <f>D92-$K23</f>
        <v>100</v>
      </c>
      <c r="F92" s="675">
        <f>E92-$K23</f>
        <v>100</v>
      </c>
      <c r="G92" s="675">
        <f>F92-$K23</f>
        <v>100</v>
      </c>
      <c r="H92" s="675"/>
      <c r="I92" s="675"/>
      <c r="J92" s="675"/>
      <c r="K92" s="675"/>
      <c r="L92" s="675"/>
      <c r="M92" s="676"/>
      <c r="N92" s="2161"/>
      <c r="O92" s="2161"/>
      <c r="P92" s="2160"/>
      <c r="Q92" s="2153"/>
      <c r="R92" s="1988"/>
      <c r="S92" s="1988"/>
      <c r="T92" s="1988"/>
      <c r="U92" s="1988"/>
      <c r="V92" s="1988"/>
      <c r="W92" s="1988"/>
      <c r="X92" s="1988"/>
      <c r="Y92" s="1988"/>
      <c r="Z92" s="1988"/>
      <c r="AA92" s="1988"/>
      <c r="AB92" s="1988"/>
      <c r="AC92" s="1988"/>
    </row>
    <row r="93" spans="1:29" s="1334" customFormat="1" ht="15.75" thickTop="1">
      <c r="A93" s="683"/>
      <c r="B93" s="1891" t="s">
        <v>2545</v>
      </c>
      <c r="C93" s="699" t="s">
        <v>573</v>
      </c>
      <c r="D93" s="699" t="s">
        <v>574</v>
      </c>
      <c r="E93" s="699" t="s">
        <v>575</v>
      </c>
      <c r="F93" s="699" t="s">
        <v>576</v>
      </c>
      <c r="G93" s="699" t="s">
        <v>577</v>
      </c>
      <c r="H93" s="709"/>
      <c r="I93" s="709"/>
      <c r="J93" s="709"/>
      <c r="K93" s="709"/>
      <c r="L93" s="710"/>
      <c r="M93" s="711"/>
      <c r="N93" s="2162"/>
      <c r="O93" s="2162"/>
      <c r="P93" s="2163"/>
      <c r="Q93" s="2164"/>
      <c r="R93" s="2165"/>
      <c r="S93" s="2165"/>
      <c r="T93" s="2165"/>
      <c r="U93" s="2165"/>
      <c r="V93" s="2165"/>
      <c r="W93" s="2165"/>
      <c r="X93" s="2165"/>
      <c r="Y93" s="2165"/>
      <c r="Z93" s="2165"/>
      <c r="AA93" s="2165"/>
      <c r="AB93" s="2165"/>
      <c r="AC93" s="2165"/>
    </row>
    <row r="94" spans="1:29" s="1334" customFormat="1" ht="15.75" thickBot="1">
      <c r="A94" s="683"/>
      <c r="B94" s="674"/>
      <c r="C94" s="675">
        <v>100</v>
      </c>
      <c r="D94" s="675">
        <f>C94-$K25</f>
        <v>100</v>
      </c>
      <c r="E94" s="675">
        <f>D94-$K25</f>
        <v>100</v>
      </c>
      <c r="F94" s="675">
        <f>E94-$K25</f>
        <v>100</v>
      </c>
      <c r="G94" s="675">
        <f>F94-$K25</f>
        <v>100</v>
      </c>
      <c r="H94" s="712"/>
      <c r="I94" s="712"/>
      <c r="J94" s="712"/>
      <c r="K94" s="712"/>
      <c r="L94" s="712"/>
      <c r="M94" s="713"/>
      <c r="N94" s="2162"/>
      <c r="O94" s="2162"/>
      <c r="P94" s="2163"/>
      <c r="Q94" s="2164"/>
      <c r="R94" s="2165"/>
      <c r="S94" s="2165"/>
      <c r="T94" s="2165"/>
      <c r="U94" s="2165"/>
      <c r="V94" s="2165"/>
      <c r="W94" s="2165"/>
      <c r="X94" s="2165"/>
      <c r="Y94" s="2165"/>
      <c r="Z94" s="2165"/>
      <c r="AA94" s="2165"/>
      <c r="AB94" s="2165"/>
      <c r="AC94" s="2165"/>
    </row>
    <row r="95" spans="1:29" s="1334" customFormat="1" ht="15.75" thickTop="1">
      <c r="A95" s="683"/>
      <c r="B95" s="2616" t="s">
        <v>2547</v>
      </c>
      <c r="C95" s="2617" t="s">
        <v>2548</v>
      </c>
      <c r="D95" s="2617" t="s">
        <v>2549</v>
      </c>
      <c r="E95" s="2617" t="s">
        <v>2550</v>
      </c>
      <c r="F95" s="2617" t="s">
        <v>2551</v>
      </c>
      <c r="G95" s="2617" t="s">
        <v>2552</v>
      </c>
      <c r="H95" s="709"/>
      <c r="I95" s="709"/>
      <c r="J95" s="709"/>
      <c r="K95" s="709"/>
      <c r="L95" s="709"/>
      <c r="M95" s="711"/>
      <c r="N95" s="2162"/>
      <c r="O95" s="2162"/>
      <c r="P95" s="2163"/>
      <c r="Q95" s="2164"/>
      <c r="R95" s="2165"/>
      <c r="S95" s="2165"/>
      <c r="T95" s="2165"/>
      <c r="U95" s="2165"/>
      <c r="V95" s="2165"/>
      <c r="W95" s="2165"/>
      <c r="X95" s="2165"/>
      <c r="Y95" s="2165"/>
      <c r="Z95" s="2165"/>
      <c r="AA95" s="2165"/>
      <c r="AB95" s="2165"/>
      <c r="AC95" s="2165"/>
    </row>
    <row r="96" spans="1:29" s="1334" customFormat="1" ht="15.75" thickBot="1">
      <c r="A96" s="683"/>
      <c r="B96" s="677"/>
      <c r="C96" s="675">
        <v>100</v>
      </c>
      <c r="D96" s="675">
        <f>C96-$K27</f>
        <v>100</v>
      </c>
      <c r="E96" s="675">
        <f>D96-$K27</f>
        <v>100</v>
      </c>
      <c r="F96" s="675">
        <f>E96-$K27</f>
        <v>100</v>
      </c>
      <c r="G96" s="675">
        <f>F96-$K27</f>
        <v>100</v>
      </c>
      <c r="H96" s="679"/>
      <c r="I96" s="679"/>
      <c r="J96" s="679"/>
      <c r="K96" s="679"/>
      <c r="L96" s="679"/>
      <c r="M96" s="2609"/>
      <c r="N96" s="2162"/>
      <c r="O96" s="2162"/>
      <c r="P96" s="2163"/>
      <c r="Q96" s="2164"/>
      <c r="R96" s="2165"/>
      <c r="S96" s="2165"/>
      <c r="T96" s="2165"/>
      <c r="U96" s="2165"/>
      <c r="V96" s="2165"/>
      <c r="W96" s="2165"/>
      <c r="X96" s="2165"/>
      <c r="Y96" s="2165"/>
      <c r="Z96" s="2165"/>
      <c r="AA96" s="2165"/>
      <c r="AB96" s="2165"/>
      <c r="AC96" s="2165"/>
    </row>
    <row r="97" spans="1:29" ht="15.75" thickTop="1">
      <c r="A97" s="665"/>
      <c r="B97" s="669" t="str">
        <f>B29</f>
        <v>临街状况</v>
      </c>
      <c r="C97" s="670" t="s">
        <v>583</v>
      </c>
      <c r="D97" s="670" t="s">
        <v>584</v>
      </c>
      <c r="E97" s="670" t="s">
        <v>585</v>
      </c>
      <c r="F97" s="670" t="s">
        <v>586</v>
      </c>
      <c r="G97" s="670"/>
      <c r="H97" s="670"/>
      <c r="I97" s="670"/>
      <c r="J97" s="670"/>
      <c r="K97" s="671"/>
      <c r="L97" s="672"/>
      <c r="M97" s="673"/>
      <c r="N97" s="2159"/>
      <c r="O97" s="2159"/>
      <c r="P97" s="2160"/>
      <c r="Q97" s="2153"/>
      <c r="R97" s="2140"/>
      <c r="S97" s="2140"/>
      <c r="T97" s="2140"/>
      <c r="U97" s="2140"/>
      <c r="V97" s="2140"/>
      <c r="W97" s="2140"/>
      <c r="X97" s="2140"/>
      <c r="Y97" s="2140"/>
      <c r="Z97" s="2140"/>
      <c r="AA97" s="2140"/>
      <c r="AB97" s="2140"/>
      <c r="AC97" s="2140"/>
    </row>
    <row r="98" spans="1:29" ht="15.75" thickBot="1">
      <c r="A98" s="665"/>
      <c r="B98" s="674"/>
      <c r="C98" s="675">
        <v>100</v>
      </c>
      <c r="D98" s="675">
        <f t="shared" ref="D98:M98" si="22">C98-$K29</f>
        <v>100</v>
      </c>
      <c r="E98" s="675">
        <f t="shared" si="22"/>
        <v>100</v>
      </c>
      <c r="F98" s="675">
        <f t="shared" si="22"/>
        <v>100</v>
      </c>
      <c r="G98" s="675">
        <f t="shared" si="22"/>
        <v>100</v>
      </c>
      <c r="H98" s="675">
        <f t="shared" si="22"/>
        <v>100</v>
      </c>
      <c r="I98" s="675">
        <f t="shared" si="22"/>
        <v>100</v>
      </c>
      <c r="J98" s="675">
        <f t="shared" si="22"/>
        <v>100</v>
      </c>
      <c r="K98" s="675">
        <f t="shared" si="22"/>
        <v>100</v>
      </c>
      <c r="L98" s="675">
        <f t="shared" si="22"/>
        <v>100</v>
      </c>
      <c r="M98" s="675">
        <f t="shared" si="22"/>
        <v>100</v>
      </c>
      <c r="N98" s="2161"/>
      <c r="O98" s="2161"/>
      <c r="P98" s="2160"/>
      <c r="Q98" s="2153"/>
      <c r="R98" s="2140"/>
      <c r="S98" s="2140"/>
      <c r="T98" s="2140"/>
      <c r="U98" s="2140"/>
      <c r="V98" s="2140"/>
      <c r="W98" s="2140"/>
      <c r="X98" s="2140"/>
      <c r="Y98" s="2140"/>
      <c r="Z98" s="2140"/>
      <c r="AA98" s="2140"/>
      <c r="AB98" s="2140"/>
      <c r="AC98" s="2140"/>
    </row>
    <row r="99" spans="1:29" ht="27.75" thickTop="1">
      <c r="A99" s="665"/>
      <c r="B99" s="669" t="s">
        <v>542</v>
      </c>
      <c r="C99" s="684"/>
      <c r="D99" s="684"/>
      <c r="E99" s="684"/>
      <c r="F99" s="684"/>
      <c r="G99" s="684"/>
      <c r="H99" s="714"/>
      <c r="I99" s="714"/>
      <c r="J99" s="714"/>
      <c r="K99" s="715"/>
      <c r="L99" s="716"/>
      <c r="M99" s="717"/>
      <c r="N99" s="2159"/>
      <c r="O99" s="2159"/>
      <c r="P99" s="2160"/>
      <c r="Q99" s="2153"/>
      <c r="R99" s="2140"/>
      <c r="S99" s="2140"/>
      <c r="T99" s="2140"/>
      <c r="U99" s="2140"/>
      <c r="V99" s="2140"/>
      <c r="W99" s="2140"/>
      <c r="X99" s="2140"/>
      <c r="Y99" s="2140"/>
      <c r="Z99" s="2140"/>
      <c r="AA99" s="2140"/>
      <c r="AB99" s="2140"/>
      <c r="AC99" s="2140"/>
    </row>
    <row r="100" spans="1:29" ht="15.75" thickBot="1">
      <c r="A100" s="665"/>
      <c r="B100" s="674"/>
      <c r="C100" s="675">
        <v>100</v>
      </c>
      <c r="D100" s="675">
        <f t="shared" ref="D100:M100" si="23">C100-$K30</f>
        <v>100</v>
      </c>
      <c r="E100" s="675">
        <f t="shared" si="23"/>
        <v>100</v>
      </c>
      <c r="F100" s="675">
        <f t="shared" si="23"/>
        <v>100</v>
      </c>
      <c r="G100" s="675">
        <f t="shared" si="23"/>
        <v>100</v>
      </c>
      <c r="H100" s="675">
        <f t="shared" si="23"/>
        <v>100</v>
      </c>
      <c r="I100" s="675">
        <f t="shared" si="23"/>
        <v>100</v>
      </c>
      <c r="J100" s="675">
        <f t="shared" si="23"/>
        <v>100</v>
      </c>
      <c r="K100" s="675">
        <f t="shared" si="23"/>
        <v>100</v>
      </c>
      <c r="L100" s="675">
        <f t="shared" si="23"/>
        <v>100</v>
      </c>
      <c r="M100" s="675">
        <f t="shared" si="23"/>
        <v>100</v>
      </c>
      <c r="N100" s="2161"/>
      <c r="O100" s="2161"/>
      <c r="P100" s="2160"/>
      <c r="Q100" s="2153"/>
      <c r="R100" s="2140"/>
      <c r="S100" s="2140"/>
      <c r="T100" s="2140"/>
      <c r="U100" s="2140"/>
      <c r="V100" s="2140"/>
      <c r="W100" s="2140"/>
      <c r="X100" s="2140"/>
      <c r="Y100" s="2140"/>
      <c r="Z100" s="2140"/>
      <c r="AA100" s="2140"/>
      <c r="AB100" s="2140"/>
      <c r="AC100" s="2140"/>
    </row>
    <row r="101" spans="1:29" ht="15.75" thickTop="1">
      <c r="A101" s="665"/>
      <c r="B101" s="669" t="s">
        <v>543</v>
      </c>
      <c r="C101" s="714"/>
      <c r="D101" s="714"/>
      <c r="E101" s="714"/>
      <c r="F101" s="714"/>
      <c r="G101" s="714"/>
      <c r="H101" s="714"/>
      <c r="I101" s="714"/>
      <c r="J101" s="714"/>
      <c r="K101" s="715"/>
      <c r="L101" s="716"/>
      <c r="M101" s="717"/>
      <c r="N101" s="2159"/>
      <c r="O101" s="2159"/>
      <c r="P101" s="2160"/>
      <c r="Q101" s="2153"/>
      <c r="R101" s="2140"/>
      <c r="S101" s="2140"/>
      <c r="T101" s="2140"/>
      <c r="U101" s="2140"/>
      <c r="V101" s="2140"/>
      <c r="W101" s="2140"/>
      <c r="X101" s="2140"/>
      <c r="Y101" s="2140"/>
      <c r="Z101" s="2140"/>
      <c r="AA101" s="2140"/>
      <c r="AB101" s="2140"/>
      <c r="AC101" s="2140"/>
    </row>
    <row r="102" spans="1:29" ht="15.75" thickBot="1">
      <c r="A102" s="665"/>
      <c r="B102" s="674"/>
      <c r="C102" s="675">
        <v>100</v>
      </c>
      <c r="D102" s="675">
        <f t="shared" ref="D102:M102" si="24">C102-$K32</f>
        <v>100</v>
      </c>
      <c r="E102" s="675">
        <f t="shared" si="24"/>
        <v>100</v>
      </c>
      <c r="F102" s="675">
        <f t="shared" si="24"/>
        <v>100</v>
      </c>
      <c r="G102" s="675">
        <f t="shared" si="24"/>
        <v>100</v>
      </c>
      <c r="H102" s="675">
        <f t="shared" si="24"/>
        <v>100</v>
      </c>
      <c r="I102" s="675">
        <f t="shared" si="24"/>
        <v>100</v>
      </c>
      <c r="J102" s="675">
        <f t="shared" si="24"/>
        <v>100</v>
      </c>
      <c r="K102" s="675">
        <f t="shared" si="24"/>
        <v>100</v>
      </c>
      <c r="L102" s="675">
        <f t="shared" si="24"/>
        <v>100</v>
      </c>
      <c r="M102" s="675">
        <f t="shared" si="24"/>
        <v>100</v>
      </c>
      <c r="N102" s="2161"/>
      <c r="O102" s="2161"/>
      <c r="P102" s="2160"/>
      <c r="Q102" s="2153"/>
      <c r="R102" s="2140"/>
      <c r="S102" s="2140"/>
      <c r="T102" s="2140"/>
      <c r="U102" s="2140"/>
      <c r="V102" s="2140"/>
      <c r="W102" s="2140"/>
      <c r="X102" s="2140"/>
      <c r="Y102" s="2140"/>
      <c r="Z102" s="2140"/>
      <c r="AA102" s="2140"/>
      <c r="AB102" s="2140"/>
      <c r="AC102" s="2140"/>
    </row>
    <row r="103" spans="1:29" ht="15.75" thickTop="1">
      <c r="A103" s="665"/>
      <c r="B103" s="677">
        <f>B33</f>
        <v>111</v>
      </c>
      <c r="C103" s="684"/>
      <c r="D103" s="684"/>
      <c r="E103" s="684"/>
      <c r="F103" s="684"/>
      <c r="G103" s="718"/>
      <c r="H103" s="718"/>
      <c r="I103" s="718"/>
      <c r="J103" s="718"/>
      <c r="K103" s="719"/>
      <c r="L103" s="720"/>
      <c r="M103" s="721"/>
      <c r="N103" s="2159"/>
      <c r="O103" s="2159"/>
      <c r="P103" s="2160"/>
      <c r="Q103" s="2153"/>
      <c r="R103" s="2140"/>
      <c r="S103" s="2140"/>
      <c r="T103" s="2140"/>
      <c r="U103" s="2140"/>
      <c r="V103" s="2140"/>
      <c r="W103" s="2140"/>
      <c r="X103" s="2140"/>
      <c r="Y103" s="2140"/>
      <c r="Z103" s="2140"/>
      <c r="AA103" s="2140"/>
      <c r="AB103" s="2140"/>
      <c r="AC103" s="2140"/>
    </row>
    <row r="104" spans="1:29" ht="15.75" thickBot="1">
      <c r="A104" s="665"/>
      <c r="B104" s="695"/>
      <c r="C104" s="688"/>
      <c r="D104" s="667"/>
      <c r="E104" s="667"/>
      <c r="F104" s="667"/>
      <c r="G104" s="722"/>
      <c r="H104" s="722"/>
      <c r="I104" s="722"/>
      <c r="J104" s="722"/>
      <c r="K104" s="722"/>
      <c r="L104" s="722"/>
      <c r="M104" s="723"/>
      <c r="N104" s="2161"/>
      <c r="O104" s="2161"/>
      <c r="P104" s="2160"/>
      <c r="Q104" s="2153"/>
      <c r="R104" s="2140"/>
      <c r="S104" s="2140"/>
      <c r="T104" s="2140"/>
      <c r="U104" s="2140"/>
      <c r="V104" s="2140"/>
      <c r="W104" s="2140"/>
      <c r="X104" s="2140"/>
      <c r="Y104" s="2140"/>
      <c r="Z104" s="2140"/>
      <c r="AA104" s="2140"/>
      <c r="AB104" s="2140"/>
      <c r="AC104" s="2140"/>
    </row>
    <row r="105" spans="1:29" ht="15" thickTop="1">
      <c r="A105" s="583"/>
      <c r="B105" s="669">
        <f>B34</f>
        <v>111</v>
      </c>
      <c r="C105" s="684"/>
      <c r="D105" s="684"/>
      <c r="E105" s="684"/>
      <c r="F105" s="684"/>
      <c r="G105" s="714"/>
      <c r="H105" s="714"/>
      <c r="I105" s="714"/>
      <c r="J105" s="714"/>
      <c r="K105" s="715"/>
      <c r="L105" s="716"/>
      <c r="M105" s="717"/>
      <c r="N105" s="2159"/>
      <c r="O105" s="2159"/>
      <c r="P105" s="2160"/>
      <c r="Q105" s="2153"/>
      <c r="R105" s="2140"/>
      <c r="S105" s="2140"/>
      <c r="T105" s="2140"/>
      <c r="U105" s="2140"/>
      <c r="V105" s="2140"/>
      <c r="W105" s="2140"/>
      <c r="X105" s="2140"/>
      <c r="Y105" s="2140"/>
      <c r="Z105" s="2140"/>
      <c r="AA105" s="2140"/>
      <c r="AB105" s="2140"/>
      <c r="AC105" s="2140"/>
    </row>
    <row r="106" spans="1:29" ht="15.75" thickBot="1">
      <c r="A106" s="665"/>
      <c r="B106" s="674"/>
      <c r="C106" s="688"/>
      <c r="D106" s="688"/>
      <c r="E106" s="688"/>
      <c r="F106" s="688"/>
      <c r="G106" s="667"/>
      <c r="H106" s="667"/>
      <c r="I106" s="667"/>
      <c r="J106" s="667"/>
      <c r="K106" s="667"/>
      <c r="L106" s="667"/>
      <c r="M106" s="668"/>
      <c r="N106" s="2161"/>
      <c r="O106" s="2161"/>
      <c r="P106" s="2160"/>
      <c r="Q106" s="2153"/>
      <c r="R106" s="2140"/>
      <c r="S106" s="2140"/>
      <c r="T106" s="2140"/>
      <c r="U106" s="2140"/>
      <c r="V106" s="2140"/>
      <c r="W106" s="2140"/>
      <c r="X106" s="2140"/>
      <c r="Y106" s="2140"/>
      <c r="Z106" s="2140"/>
      <c r="AA106" s="2140"/>
      <c r="AB106" s="2140"/>
      <c r="AC106" s="2140"/>
    </row>
    <row r="107" spans="1:29" s="1334" customFormat="1" ht="15" thickTop="1">
      <c r="A107" s="724"/>
      <c r="B107" s="725">
        <f>B35</f>
        <v>111</v>
      </c>
      <c r="C107" s="657"/>
      <c r="D107" s="657"/>
      <c r="E107" s="657"/>
      <c r="F107" s="657"/>
      <c r="G107" s="726"/>
      <c r="H107" s="726"/>
      <c r="I107" s="726"/>
      <c r="J107" s="727"/>
      <c r="K107" s="727"/>
      <c r="L107" s="728"/>
      <c r="M107" s="729"/>
      <c r="N107" s="2162"/>
      <c r="O107" s="2162"/>
      <c r="P107" s="2163"/>
      <c r="Q107" s="2164"/>
      <c r="R107" s="2165"/>
      <c r="S107" s="2165"/>
      <c r="T107" s="2165"/>
      <c r="U107" s="2165"/>
      <c r="V107" s="2165"/>
      <c r="W107" s="2165"/>
      <c r="X107" s="2165"/>
      <c r="Y107" s="2165"/>
      <c r="Z107" s="2165"/>
      <c r="AA107" s="2165"/>
      <c r="AB107" s="2165"/>
      <c r="AC107" s="2165"/>
    </row>
    <row r="108" spans="1:29" s="1334" customFormat="1" ht="15.75" thickBot="1">
      <c r="A108" s="683"/>
      <c r="B108" s="677"/>
      <c r="C108" s="696"/>
      <c r="D108" s="696"/>
      <c r="E108" s="696"/>
      <c r="F108" s="696"/>
      <c r="G108" s="588"/>
      <c r="H108" s="588"/>
      <c r="I108" s="588"/>
      <c r="J108" s="588"/>
      <c r="K108" s="588"/>
      <c r="L108" s="588"/>
      <c r="M108" s="730"/>
      <c r="N108" s="2161"/>
      <c r="O108" s="2161"/>
      <c r="P108" s="2163"/>
      <c r="Q108" s="2164"/>
      <c r="R108" s="2165"/>
      <c r="S108" s="2165"/>
      <c r="T108" s="2165"/>
      <c r="U108" s="2165"/>
      <c r="V108" s="2165"/>
      <c r="W108" s="2165"/>
      <c r="X108" s="2165"/>
      <c r="Y108" s="2165"/>
      <c r="Z108" s="2165"/>
      <c r="AA108" s="2165"/>
      <c r="AB108" s="2165"/>
      <c r="AC108" s="2165"/>
    </row>
    <row r="109" spans="1:29">
      <c r="A109" s="660" t="s">
        <v>545</v>
      </c>
      <c r="B109" s="661" t="s">
        <v>587</v>
      </c>
      <c r="C109" s="700" t="str">
        <f t="shared" ref="C109:L109" si="25">C110&amp;"(含)"&amp;"-"&amp;D110</f>
        <v>(含)-</v>
      </c>
      <c r="D109" s="700" t="str">
        <f t="shared" si="25"/>
        <v>(含)-</v>
      </c>
      <c r="E109" s="700" t="str">
        <f t="shared" si="25"/>
        <v>(含)-</v>
      </c>
      <c r="F109" s="700" t="str">
        <f t="shared" si="25"/>
        <v>(含)-</v>
      </c>
      <c r="G109" s="700" t="str">
        <f t="shared" si="25"/>
        <v>(含)-</v>
      </c>
      <c r="H109" s="700" t="str">
        <f t="shared" si="25"/>
        <v>(含)-</v>
      </c>
      <c r="I109" s="700" t="str">
        <f t="shared" si="25"/>
        <v>(含)-</v>
      </c>
      <c r="J109" s="700" t="str">
        <f t="shared" si="25"/>
        <v>(含)-</v>
      </c>
      <c r="K109" s="3109" t="str">
        <f t="shared" si="25"/>
        <v>(含)-</v>
      </c>
      <c r="L109" s="3110" t="str">
        <f t="shared" si="25"/>
        <v>(含)-</v>
      </c>
      <c r="M109" s="3111" t="str">
        <f>M110&amp;"(含)"&amp;"-"&amp;P110</f>
        <v>(含)-</v>
      </c>
      <c r="N109" s="2159"/>
      <c r="O109" s="2159"/>
      <c r="P109" s="2160"/>
      <c r="Q109" s="2153"/>
      <c r="R109" s="2140"/>
      <c r="S109" s="2140"/>
      <c r="T109" s="2140"/>
      <c r="U109" s="2140"/>
      <c r="V109" s="2140"/>
      <c r="W109" s="2140"/>
      <c r="X109" s="2140"/>
      <c r="Y109" s="2140"/>
      <c r="Z109" s="2140"/>
      <c r="AA109" s="2140"/>
      <c r="AB109" s="2140"/>
      <c r="AC109" s="2140"/>
    </row>
    <row r="110" spans="1:29" ht="15">
      <c r="A110" s="665"/>
      <c r="B110" s="677"/>
      <c r="C110" s="726"/>
      <c r="D110" s="726"/>
      <c r="E110" s="726"/>
      <c r="F110" s="726"/>
      <c r="G110" s="726"/>
      <c r="H110" s="726"/>
      <c r="I110" s="726"/>
      <c r="J110" s="727"/>
      <c r="K110" s="727"/>
      <c r="L110" s="728"/>
      <c r="M110" s="729"/>
      <c r="N110" s="2159"/>
      <c r="O110" s="2159"/>
      <c r="P110" s="2160"/>
      <c r="Q110" s="2153"/>
      <c r="R110" s="2140"/>
      <c r="S110" s="2140"/>
      <c r="T110" s="2140"/>
      <c r="U110" s="2140"/>
      <c r="V110" s="2140"/>
      <c r="W110" s="2140"/>
      <c r="X110" s="2140"/>
      <c r="Y110" s="2140"/>
      <c r="Z110" s="2140"/>
      <c r="AA110" s="2140"/>
      <c r="AB110" s="2140"/>
      <c r="AC110" s="2140"/>
    </row>
    <row r="111" spans="1:29" ht="15.75" thickBot="1">
      <c r="A111" s="665"/>
      <c r="B111" s="674"/>
      <c r="C111" s="696"/>
      <c r="D111" s="722"/>
      <c r="E111" s="722"/>
      <c r="F111" s="722"/>
      <c r="G111" s="722"/>
      <c r="H111" s="722"/>
      <c r="I111" s="722"/>
      <c r="J111" s="722"/>
      <c r="K111" s="722"/>
      <c r="L111" s="722"/>
      <c r="M111" s="723"/>
      <c r="N111" s="2161"/>
      <c r="O111" s="2161"/>
      <c r="P111" s="2160"/>
      <c r="Q111" s="2153"/>
      <c r="R111" s="2140"/>
      <c r="S111" s="2140"/>
      <c r="T111" s="2140"/>
      <c r="U111" s="2140"/>
      <c r="V111" s="2140"/>
      <c r="W111" s="2140"/>
      <c r="X111" s="2140"/>
      <c r="Y111" s="2140"/>
      <c r="Z111" s="2140"/>
      <c r="AA111" s="2140"/>
      <c r="AB111" s="2140"/>
      <c r="AC111" s="2140"/>
    </row>
    <row r="112" spans="1:29" ht="15" thickTop="1">
      <c r="A112" s="731"/>
      <c r="B112" s="669" t="s">
        <v>588</v>
      </c>
      <c r="C112" s="714"/>
      <c r="D112" s="714"/>
      <c r="E112" s="714"/>
      <c r="F112" s="714"/>
      <c r="G112" s="714"/>
      <c r="H112" s="714"/>
      <c r="I112" s="714"/>
      <c r="J112" s="714"/>
      <c r="K112" s="715"/>
      <c r="L112" s="716"/>
      <c r="M112" s="717"/>
      <c r="N112" s="2159"/>
      <c r="O112" s="2159"/>
      <c r="P112" s="2160"/>
      <c r="Q112" s="2153"/>
      <c r="R112" s="2140"/>
      <c r="S112" s="2140"/>
      <c r="T112" s="2140"/>
      <c r="U112" s="2140"/>
      <c r="V112" s="2140"/>
      <c r="W112" s="2140"/>
      <c r="X112" s="2140"/>
      <c r="Y112" s="2140"/>
      <c r="Z112" s="2140"/>
      <c r="AA112" s="2140"/>
      <c r="AB112" s="2140"/>
      <c r="AC112" s="2140"/>
    </row>
    <row r="113" spans="1:29" ht="15.75" thickBot="1">
      <c r="A113" s="665"/>
      <c r="B113" s="674"/>
      <c r="C113" s="675">
        <v>100</v>
      </c>
      <c r="D113" s="675">
        <f t="shared" ref="D113:M113" si="26">C113-$K37</f>
        <v>100</v>
      </c>
      <c r="E113" s="675">
        <f t="shared" si="26"/>
        <v>100</v>
      </c>
      <c r="F113" s="675">
        <f t="shared" si="26"/>
        <v>100</v>
      </c>
      <c r="G113" s="675">
        <f t="shared" si="26"/>
        <v>100</v>
      </c>
      <c r="H113" s="675">
        <f t="shared" si="26"/>
        <v>100</v>
      </c>
      <c r="I113" s="675">
        <f t="shared" si="26"/>
        <v>100</v>
      </c>
      <c r="J113" s="675">
        <f t="shared" si="26"/>
        <v>100</v>
      </c>
      <c r="K113" s="675">
        <f t="shared" si="26"/>
        <v>100</v>
      </c>
      <c r="L113" s="675">
        <f t="shared" si="26"/>
        <v>100</v>
      </c>
      <c r="M113" s="676">
        <f t="shared" si="26"/>
        <v>100</v>
      </c>
      <c r="N113" s="2161"/>
      <c r="O113" s="2161"/>
      <c r="P113" s="2160"/>
      <c r="Q113" s="2153"/>
      <c r="R113" s="2140"/>
      <c r="S113" s="2140"/>
      <c r="T113" s="2140"/>
      <c r="U113" s="2140"/>
      <c r="V113" s="2140"/>
      <c r="W113" s="2140"/>
      <c r="X113" s="2140"/>
      <c r="Y113" s="2140"/>
      <c r="Z113" s="2140"/>
      <c r="AA113" s="2140"/>
      <c r="AB113" s="2140"/>
      <c r="AC113" s="2140"/>
    </row>
    <row r="114" spans="1:29" s="1334" customFormat="1" ht="15" thickTop="1">
      <c r="A114" s="724"/>
      <c r="B114" s="1891" t="s">
        <v>2420</v>
      </c>
      <c r="C114" s="1370"/>
      <c r="D114" s="1370"/>
      <c r="E114" s="1370"/>
      <c r="F114" s="1370"/>
      <c r="G114" s="1370"/>
      <c r="H114" s="714"/>
      <c r="I114" s="714"/>
      <c r="J114" s="714"/>
      <c r="K114" s="715"/>
      <c r="L114" s="716"/>
      <c r="M114" s="717"/>
      <c r="N114" s="2162"/>
      <c r="O114" s="2162"/>
      <c r="P114" s="2163"/>
      <c r="Q114" s="2164"/>
      <c r="R114" s="2165"/>
      <c r="S114" s="2165"/>
      <c r="T114" s="2165"/>
      <c r="U114" s="2165"/>
      <c r="V114" s="2165"/>
      <c r="W114" s="2165"/>
      <c r="X114" s="2165"/>
      <c r="Y114" s="2165"/>
      <c r="Z114" s="2165"/>
      <c r="AA114" s="2165"/>
      <c r="AB114" s="2165"/>
      <c r="AC114" s="2165"/>
    </row>
    <row r="115" spans="1:29" s="1334" customFormat="1" ht="15.75" thickBot="1">
      <c r="A115" s="683"/>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6">
        <f t="shared" si="27"/>
        <v>100</v>
      </c>
      <c r="N115" s="2162"/>
      <c r="O115" s="2162"/>
      <c r="P115" s="2163"/>
      <c r="Q115" s="2164"/>
      <c r="R115" s="2165"/>
      <c r="S115" s="2165"/>
      <c r="T115" s="2165"/>
      <c r="U115" s="2165"/>
      <c r="V115" s="2165"/>
      <c r="W115" s="2165"/>
      <c r="X115" s="2165"/>
      <c r="Y115" s="2165"/>
      <c r="Z115" s="2165"/>
      <c r="AA115" s="2165"/>
      <c r="AB115" s="2165"/>
      <c r="AC115" s="2165"/>
    </row>
    <row r="116" spans="1:29" ht="15" thickTop="1">
      <c r="A116" s="731"/>
      <c r="B116" s="669" t="s">
        <v>590</v>
      </c>
      <c r="C116" s="684"/>
      <c r="D116" s="684"/>
      <c r="E116" s="714"/>
      <c r="F116" s="714"/>
      <c r="G116" s="714"/>
      <c r="H116" s="714"/>
      <c r="I116" s="714"/>
      <c r="J116" s="714"/>
      <c r="K116" s="715"/>
      <c r="L116" s="716"/>
      <c r="M116" s="717"/>
      <c r="N116" s="2159"/>
      <c r="O116" s="2159"/>
      <c r="P116" s="2160"/>
      <c r="Q116" s="2153"/>
      <c r="R116" s="2140"/>
      <c r="S116" s="2140"/>
      <c r="T116" s="2140"/>
      <c r="U116" s="2140"/>
      <c r="V116" s="2140"/>
      <c r="W116" s="2140"/>
      <c r="X116" s="2140"/>
      <c r="Y116" s="2140"/>
      <c r="Z116" s="2140"/>
      <c r="AA116" s="2140"/>
      <c r="AB116" s="2140"/>
      <c r="AC116" s="2140"/>
    </row>
    <row r="117" spans="1:29" ht="15.75" thickBot="1">
      <c r="A117" s="665"/>
      <c r="B117" s="674"/>
      <c r="C117" s="675">
        <v>100</v>
      </c>
      <c r="D117" s="675">
        <f t="shared" ref="D117:M117" si="28">C117-$K39</f>
        <v>100</v>
      </c>
      <c r="E117" s="675">
        <f t="shared" si="28"/>
        <v>100</v>
      </c>
      <c r="F117" s="675">
        <f t="shared" si="28"/>
        <v>100</v>
      </c>
      <c r="G117" s="675">
        <f t="shared" si="28"/>
        <v>100</v>
      </c>
      <c r="H117" s="675">
        <f t="shared" si="28"/>
        <v>100</v>
      </c>
      <c r="I117" s="675">
        <f t="shared" si="28"/>
        <v>100</v>
      </c>
      <c r="J117" s="675">
        <f t="shared" si="28"/>
        <v>100</v>
      </c>
      <c r="K117" s="675">
        <f t="shared" si="28"/>
        <v>100</v>
      </c>
      <c r="L117" s="675">
        <f t="shared" si="28"/>
        <v>100</v>
      </c>
      <c r="M117" s="676">
        <f t="shared" si="28"/>
        <v>100</v>
      </c>
      <c r="N117" s="2161"/>
      <c r="O117" s="2161"/>
      <c r="P117" s="2160"/>
      <c r="Q117" s="2153"/>
      <c r="R117" s="2140"/>
      <c r="S117" s="2140"/>
      <c r="T117" s="2140"/>
      <c r="U117" s="2140"/>
      <c r="V117" s="2140"/>
      <c r="W117" s="2140"/>
      <c r="X117" s="2140"/>
      <c r="Y117" s="2140"/>
      <c r="Z117" s="2140"/>
      <c r="AA117" s="2140"/>
      <c r="AB117" s="2140"/>
      <c r="AC117" s="2140"/>
    </row>
    <row r="118" spans="1:29" ht="15" thickTop="1">
      <c r="A118" s="731"/>
      <c r="B118" s="669">
        <f>B40</f>
        <v>111</v>
      </c>
      <c r="C118" s="684"/>
      <c r="D118" s="684"/>
      <c r="E118" s="684"/>
      <c r="F118" s="684"/>
      <c r="G118" s="684"/>
      <c r="H118" s="714"/>
      <c r="I118" s="714"/>
      <c r="J118" s="714"/>
      <c r="K118" s="715"/>
      <c r="L118" s="716"/>
      <c r="M118" s="717"/>
      <c r="N118" s="2159"/>
      <c r="O118" s="2159"/>
      <c r="P118" s="2160"/>
      <c r="Q118" s="2153"/>
      <c r="R118" s="2140"/>
      <c r="S118" s="2140"/>
      <c r="T118" s="2140"/>
      <c r="U118" s="2140"/>
      <c r="V118" s="2140"/>
      <c r="W118" s="2140"/>
      <c r="X118" s="2140"/>
      <c r="Y118" s="2140"/>
      <c r="Z118" s="2140"/>
      <c r="AA118" s="2140"/>
      <c r="AB118" s="2140"/>
      <c r="AC118" s="2140"/>
    </row>
    <row r="119" spans="1:29" ht="15.75" thickBot="1">
      <c r="A119" s="665"/>
      <c r="B119" s="674"/>
      <c r="C119" s="688"/>
      <c r="D119" s="667"/>
      <c r="E119" s="667"/>
      <c r="F119" s="667"/>
      <c r="G119" s="667"/>
      <c r="H119" s="667"/>
      <c r="I119" s="667"/>
      <c r="J119" s="667"/>
      <c r="K119" s="667"/>
      <c r="L119" s="667"/>
      <c r="M119" s="668"/>
      <c r="N119" s="2161"/>
      <c r="O119" s="2161"/>
      <c r="P119" s="2160"/>
      <c r="Q119" s="2153"/>
      <c r="R119" s="2140"/>
      <c r="S119" s="2140"/>
      <c r="T119" s="2140"/>
      <c r="U119" s="2140"/>
      <c r="V119" s="2140"/>
      <c r="W119" s="2140"/>
      <c r="X119" s="2140"/>
      <c r="Y119" s="2140"/>
      <c r="Z119" s="2140"/>
      <c r="AA119" s="2140"/>
      <c r="AB119" s="2140"/>
      <c r="AC119" s="2140"/>
    </row>
    <row r="120" spans="1:29" ht="15" thickTop="1">
      <c r="A120" s="731"/>
      <c r="B120" s="669">
        <f>B41</f>
        <v>111</v>
      </c>
      <c r="C120" s="684"/>
      <c r="D120" s="684"/>
      <c r="E120" s="684"/>
      <c r="F120" s="684"/>
      <c r="G120" s="714"/>
      <c r="H120" s="714"/>
      <c r="I120" s="714"/>
      <c r="J120" s="714"/>
      <c r="K120" s="715"/>
      <c r="L120" s="716"/>
      <c r="M120" s="717"/>
      <c r="N120" s="2159"/>
      <c r="O120" s="2159"/>
      <c r="P120" s="2160"/>
      <c r="Q120" s="2153"/>
      <c r="R120" s="2140"/>
      <c r="S120" s="2140"/>
      <c r="T120" s="2140"/>
      <c r="U120" s="2140"/>
      <c r="V120" s="2140"/>
      <c r="W120" s="2140"/>
      <c r="X120" s="2140"/>
      <c r="Y120" s="2140"/>
      <c r="Z120" s="2140"/>
      <c r="AA120" s="2140"/>
      <c r="AB120" s="2140"/>
      <c r="AC120" s="2140"/>
    </row>
    <row r="121" spans="1:29" ht="15.75" thickBot="1">
      <c r="A121" s="665"/>
      <c r="B121" s="674"/>
      <c r="C121" s="688"/>
      <c r="D121" s="688"/>
      <c r="E121" s="688"/>
      <c r="F121" s="688"/>
      <c r="G121" s="667"/>
      <c r="H121" s="667"/>
      <c r="I121" s="667"/>
      <c r="J121" s="667"/>
      <c r="K121" s="667"/>
      <c r="L121" s="667"/>
      <c r="M121" s="668"/>
      <c r="N121" s="2161"/>
      <c r="O121" s="2161"/>
      <c r="P121" s="2160"/>
      <c r="Q121" s="2153"/>
      <c r="R121" s="2140"/>
      <c r="S121" s="2140"/>
      <c r="T121" s="2140"/>
      <c r="U121" s="2140"/>
      <c r="V121" s="2140"/>
      <c r="W121" s="2140"/>
      <c r="X121" s="2140"/>
      <c r="Y121" s="2140"/>
      <c r="Z121" s="2140"/>
      <c r="AA121" s="2140"/>
      <c r="AB121" s="2140"/>
      <c r="AC121" s="2140"/>
    </row>
    <row r="122" spans="1:29" s="1334" customFormat="1" ht="15" thickTop="1">
      <c r="A122" s="724"/>
      <c r="B122" s="669">
        <f>B42</f>
        <v>111</v>
      </c>
      <c r="C122" s="657"/>
      <c r="D122" s="657"/>
      <c r="E122" s="657"/>
      <c r="F122" s="657"/>
      <c r="G122" s="685"/>
      <c r="H122" s="685"/>
      <c r="I122" s="685"/>
      <c r="J122" s="685"/>
      <c r="K122" s="685"/>
      <c r="L122" s="686"/>
      <c r="M122" s="687"/>
      <c r="N122" s="2162"/>
      <c r="O122" s="2162"/>
      <c r="P122" s="2163"/>
      <c r="Q122" s="2164"/>
      <c r="R122" s="2165"/>
      <c r="S122" s="2165"/>
      <c r="T122" s="2165"/>
      <c r="U122" s="2165"/>
      <c r="V122" s="2165"/>
      <c r="W122" s="2165"/>
      <c r="X122" s="2165"/>
      <c r="Y122" s="2165"/>
      <c r="Z122" s="2165"/>
      <c r="AA122" s="2165"/>
      <c r="AB122" s="2165"/>
      <c r="AC122" s="2165"/>
    </row>
    <row r="123" spans="1:29" s="1334" customFormat="1" ht="15.75" thickBot="1">
      <c r="A123" s="694"/>
      <c r="B123" s="732"/>
      <c r="C123" s="696"/>
      <c r="D123" s="696"/>
      <c r="E123" s="696"/>
      <c r="F123" s="696"/>
      <c r="G123" s="722"/>
      <c r="H123" s="722"/>
      <c r="I123" s="722"/>
      <c r="J123" s="722"/>
      <c r="K123" s="722"/>
      <c r="L123" s="722"/>
      <c r="M123" s="723"/>
      <c r="N123" s="2162"/>
      <c r="O123" s="2162"/>
      <c r="P123" s="2163"/>
      <c r="Q123" s="2164"/>
      <c r="R123" s="2165"/>
      <c r="S123" s="2165"/>
      <c r="T123" s="2165"/>
      <c r="U123" s="2165"/>
      <c r="V123" s="2165"/>
      <c r="W123" s="2165"/>
      <c r="X123" s="2165"/>
      <c r="Y123" s="2165"/>
      <c r="Z123" s="2165"/>
      <c r="AA123" s="2165"/>
      <c r="AB123" s="2165"/>
      <c r="AC123" s="2165"/>
    </row>
    <row r="124" spans="1:29">
      <c r="A124" s="2174"/>
      <c r="B124" s="2174"/>
      <c r="C124" s="2174"/>
      <c r="D124" s="2174"/>
      <c r="E124" s="2174"/>
      <c r="F124" s="2174"/>
      <c r="G124" s="2174"/>
      <c r="H124" s="2174"/>
      <c r="I124" s="2174"/>
      <c r="J124" s="2174"/>
      <c r="K124" s="2175"/>
      <c r="L124" s="2176"/>
      <c r="M124" s="2174"/>
      <c r="N124" s="2174"/>
      <c r="O124" s="2174"/>
      <c r="P124" s="2174"/>
      <c r="Q124" s="2174"/>
      <c r="R124" s="2174"/>
      <c r="S124" s="2174"/>
      <c r="T124" s="2174"/>
      <c r="U124" s="2174"/>
      <c r="V124" s="2174"/>
      <c r="W124" s="2174"/>
      <c r="X124" s="2174"/>
      <c r="Y124" s="2174"/>
      <c r="Z124" s="2174"/>
      <c r="AA124" s="2174"/>
      <c r="AB124" s="2174"/>
      <c r="AC124" s="2174"/>
    </row>
    <row r="125" spans="1:29">
      <c r="A125" s="2174"/>
      <c r="B125" s="2174"/>
      <c r="C125" s="2174"/>
      <c r="D125" s="2174"/>
      <c r="E125" s="2174"/>
      <c r="F125" s="2174"/>
      <c r="G125" s="2174"/>
      <c r="H125" s="2174"/>
      <c r="I125" s="2174"/>
      <c r="J125" s="2174"/>
      <c r="K125" s="2175"/>
      <c r="L125" s="2176"/>
      <c r="M125" s="2174"/>
      <c r="N125" s="2174"/>
      <c r="O125" s="2174"/>
      <c r="P125" s="2174"/>
      <c r="Q125" s="2174"/>
      <c r="R125" s="2174"/>
      <c r="S125" s="2174"/>
      <c r="T125" s="2174"/>
      <c r="U125" s="2174"/>
      <c r="V125" s="2174"/>
      <c r="W125" s="2174"/>
      <c r="X125" s="2174"/>
      <c r="Y125" s="2174"/>
      <c r="Z125" s="2174"/>
      <c r="AA125" s="2174"/>
      <c r="AB125" s="2174"/>
      <c r="AC125" s="2174"/>
    </row>
    <row r="126" spans="1:29">
      <c r="A126" s="2174"/>
      <c r="B126" s="2174"/>
      <c r="C126" s="2174"/>
      <c r="D126" s="2174"/>
      <c r="E126" s="2174"/>
      <c r="F126" s="2174"/>
      <c r="G126" s="2174"/>
      <c r="H126" s="2174"/>
      <c r="I126" s="2174"/>
      <c r="J126" s="2174"/>
      <c r="K126" s="2175"/>
      <c r="L126" s="2176"/>
      <c r="M126" s="2174"/>
      <c r="N126" s="2174"/>
      <c r="O126" s="2174"/>
      <c r="P126" s="2174"/>
      <c r="Q126" s="2174"/>
      <c r="R126" s="2174"/>
      <c r="S126" s="2174"/>
      <c r="T126" s="2174"/>
      <c r="U126" s="2174"/>
      <c r="V126" s="2174"/>
      <c r="W126" s="2174"/>
      <c r="X126" s="2174"/>
      <c r="Y126" s="2174"/>
      <c r="Z126" s="2174"/>
      <c r="AA126" s="2174"/>
      <c r="AB126" s="2174"/>
      <c r="AC126" s="2174"/>
    </row>
    <row r="127" spans="1:29">
      <c r="A127" s="2174"/>
      <c r="B127" s="2174"/>
      <c r="C127" s="2174"/>
      <c r="D127" s="2174"/>
      <c r="E127" s="2174"/>
      <c r="F127" s="2174"/>
      <c r="G127" s="2174"/>
      <c r="H127" s="2174"/>
      <c r="I127" s="2174"/>
      <c r="J127" s="2174"/>
      <c r="K127" s="2175"/>
      <c r="L127" s="2176"/>
      <c r="M127" s="2174"/>
      <c r="N127" s="2174"/>
      <c r="O127" s="2174"/>
      <c r="P127" s="2174"/>
      <c r="Q127" s="2174"/>
      <c r="R127" s="2174"/>
      <c r="S127" s="2174"/>
      <c r="T127" s="2174"/>
      <c r="U127" s="2174"/>
      <c r="V127" s="2174"/>
      <c r="W127" s="2174"/>
      <c r="X127" s="2174"/>
      <c r="Y127" s="2174"/>
      <c r="Z127" s="2174"/>
      <c r="AA127" s="2174"/>
      <c r="AB127" s="2174"/>
      <c r="AC127" s="2174"/>
    </row>
    <row r="128" spans="1:29">
      <c r="A128" s="2174"/>
      <c r="B128" s="2174"/>
      <c r="C128" s="2174"/>
      <c r="D128" s="2174"/>
      <c r="E128" s="2174"/>
      <c r="F128" s="2174"/>
      <c r="G128" s="2174"/>
      <c r="H128" s="2174"/>
      <c r="I128" s="2174"/>
      <c r="J128" s="2174"/>
      <c r="K128" s="2175"/>
      <c r="L128" s="2176"/>
      <c r="M128" s="2174"/>
      <c r="N128" s="2174"/>
      <c r="O128" s="2174"/>
      <c r="P128" s="2174"/>
      <c r="Q128" s="2174"/>
      <c r="R128" s="2174"/>
      <c r="S128" s="2174"/>
      <c r="T128" s="2174"/>
      <c r="U128" s="2174"/>
      <c r="V128" s="2174"/>
      <c r="W128" s="2174"/>
      <c r="X128" s="2174"/>
      <c r="Y128" s="2174"/>
      <c r="Z128" s="2174"/>
      <c r="AA128" s="2174"/>
      <c r="AB128" s="2174"/>
      <c r="AC128" s="2174"/>
    </row>
    <row r="129" spans="1:29">
      <c r="A129" s="2174"/>
      <c r="B129" s="2174"/>
      <c r="C129" s="2174"/>
      <c r="D129" s="2174"/>
      <c r="E129" s="2174"/>
      <c r="F129" s="2174"/>
      <c r="G129" s="2174"/>
      <c r="H129" s="2174"/>
      <c r="I129" s="2174"/>
      <c r="J129" s="2174"/>
      <c r="K129" s="2175"/>
      <c r="L129" s="2176"/>
      <c r="M129" s="2174"/>
      <c r="N129" s="2174"/>
      <c r="O129" s="2174"/>
      <c r="P129" s="2174"/>
      <c r="Q129" s="2174"/>
      <c r="R129" s="2174"/>
      <c r="S129" s="2174"/>
      <c r="T129" s="2174"/>
      <c r="U129" s="2174"/>
      <c r="V129" s="2174"/>
      <c r="W129" s="2174"/>
      <c r="X129" s="2174"/>
      <c r="Y129" s="2174"/>
      <c r="Z129" s="2174"/>
      <c r="AA129" s="2174"/>
      <c r="AB129" s="2174"/>
      <c r="AC129" s="2174"/>
    </row>
    <row r="130" spans="1:29">
      <c r="A130" s="2174"/>
      <c r="B130" s="2174"/>
      <c r="C130" s="2174"/>
      <c r="D130" s="2174"/>
      <c r="E130" s="2174"/>
      <c r="F130" s="2174"/>
      <c r="G130" s="2174"/>
      <c r="H130" s="2174"/>
      <c r="I130" s="2174"/>
      <c r="J130" s="2174"/>
      <c r="K130" s="2175"/>
      <c r="L130" s="2176"/>
      <c r="M130" s="2174"/>
      <c r="N130" s="2174"/>
      <c r="O130" s="2174"/>
      <c r="P130" s="2174"/>
      <c r="Q130" s="2174"/>
      <c r="R130" s="2174"/>
      <c r="S130" s="2174"/>
      <c r="T130" s="2174"/>
      <c r="U130" s="2174"/>
      <c r="V130" s="2174"/>
      <c r="W130" s="2174"/>
      <c r="X130" s="2174"/>
      <c r="Y130" s="2174"/>
      <c r="Z130" s="2174"/>
      <c r="AA130" s="2174"/>
      <c r="AB130" s="2174"/>
      <c r="AC130" s="2174"/>
    </row>
    <row r="131" spans="1:29">
      <c r="A131" s="2174"/>
      <c r="B131" s="2174"/>
      <c r="C131" s="2174"/>
      <c r="D131" s="2174"/>
      <c r="E131" s="2174"/>
      <c r="F131" s="2174"/>
      <c r="G131" s="2174"/>
      <c r="H131" s="2174"/>
      <c r="I131" s="2174"/>
      <c r="J131" s="2174"/>
      <c r="K131" s="2175"/>
      <c r="L131" s="2176"/>
      <c r="M131" s="2174"/>
      <c r="N131" s="2174"/>
      <c r="O131" s="2174"/>
      <c r="P131" s="2174"/>
      <c r="Q131" s="2174"/>
      <c r="R131" s="2174"/>
      <c r="S131" s="2174"/>
      <c r="T131" s="2174"/>
      <c r="U131" s="2174"/>
      <c r="V131" s="2174"/>
      <c r="W131" s="2174"/>
      <c r="X131" s="2174"/>
      <c r="Y131" s="2174"/>
      <c r="Z131" s="2174"/>
      <c r="AA131" s="2174"/>
      <c r="AB131" s="2174"/>
      <c r="AC131" s="2174"/>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c r="A256" s="2174"/>
      <c r="B256" s="2174"/>
      <c r="C256" s="2174"/>
      <c r="D256" s="2174"/>
      <c r="E256" s="2174"/>
      <c r="F256" s="2174"/>
      <c r="G256" s="2174"/>
      <c r="H256" s="2174"/>
      <c r="I256" s="2174"/>
      <c r="J256" s="2174"/>
      <c r="K256" s="2175"/>
      <c r="L256" s="2176"/>
      <c r="M256" s="2174"/>
      <c r="N256" s="2174"/>
      <c r="O256" s="2174"/>
      <c r="P256" s="2174"/>
      <c r="Q256" s="2174"/>
      <c r="R256" s="2174"/>
      <c r="S256" s="2174"/>
      <c r="T256" s="2174"/>
      <c r="U256" s="2174"/>
      <c r="V256" s="2174"/>
      <c r="W256" s="2174"/>
      <c r="X256" s="2174"/>
      <c r="Y256" s="2174"/>
      <c r="Z256" s="2174"/>
      <c r="AA256" s="2174"/>
      <c r="AB256" s="2174"/>
      <c r="AC256" s="2174"/>
    </row>
    <row r="257" spans="1:29">
      <c r="A257" s="2174"/>
      <c r="B257" s="2174"/>
      <c r="C257" s="2174"/>
      <c r="D257" s="2174"/>
      <c r="E257" s="2174"/>
      <c r="F257" s="2174"/>
      <c r="G257" s="2174"/>
      <c r="H257" s="2174"/>
      <c r="I257" s="2174"/>
      <c r="J257" s="2174"/>
      <c r="K257" s="2175"/>
      <c r="L257" s="2176"/>
      <c r="M257" s="2174"/>
      <c r="N257" s="2174"/>
      <c r="O257" s="2174"/>
      <c r="P257" s="2174"/>
      <c r="Q257" s="2174"/>
      <c r="R257" s="2174"/>
      <c r="S257" s="2174"/>
      <c r="T257" s="2174"/>
      <c r="U257" s="2174"/>
      <c r="V257" s="2174"/>
      <c r="W257" s="2174"/>
      <c r="X257" s="2174"/>
      <c r="Y257" s="2174"/>
      <c r="Z257" s="2174"/>
      <c r="AA257" s="2174"/>
      <c r="AB257" s="2174"/>
      <c r="AC257" s="2174"/>
    </row>
    <row r="258" spans="1:29">
      <c r="A258" s="2174"/>
      <c r="B258" s="2174"/>
      <c r="C258" s="2174"/>
      <c r="D258" s="2174"/>
      <c r="E258" s="2174"/>
      <c r="F258" s="2174"/>
      <c r="G258" s="2174"/>
      <c r="H258" s="2174"/>
      <c r="I258" s="2174"/>
      <c r="J258" s="2174"/>
      <c r="K258" s="2175"/>
      <c r="L258" s="2176"/>
      <c r="M258" s="2174"/>
      <c r="N258" s="2174"/>
      <c r="O258" s="2174"/>
      <c r="P258" s="2174"/>
      <c r="Q258" s="2174"/>
      <c r="R258" s="2174"/>
      <c r="S258" s="2174"/>
      <c r="T258" s="2174"/>
      <c r="U258" s="2174"/>
      <c r="V258" s="2174"/>
      <c r="W258" s="2174"/>
      <c r="X258" s="2174"/>
      <c r="Y258" s="2174"/>
      <c r="Z258" s="2174"/>
      <c r="AA258" s="2174"/>
      <c r="AB258" s="2174"/>
      <c r="AC258" s="2174"/>
    </row>
    <row r="259" spans="1:29">
      <c r="A259" s="2174"/>
      <c r="B259" s="2174"/>
      <c r="C259" s="2174"/>
      <c r="D259" s="2174"/>
      <c r="E259" s="2174"/>
      <c r="F259" s="2174"/>
      <c r="G259" s="2174"/>
      <c r="H259" s="2174"/>
      <c r="I259" s="2174"/>
      <c r="J259" s="2174"/>
      <c r="K259" s="2175"/>
      <c r="L259" s="2176"/>
      <c r="M259" s="2174"/>
      <c r="N259" s="2174"/>
      <c r="O259" s="2174"/>
      <c r="P259" s="2174"/>
      <c r="Q259" s="2174"/>
      <c r="R259" s="2174"/>
      <c r="S259" s="2174"/>
      <c r="T259" s="2174"/>
      <c r="U259" s="2174"/>
      <c r="V259" s="2174"/>
      <c r="W259" s="2174"/>
      <c r="X259" s="2174"/>
      <c r="Y259" s="2174"/>
      <c r="Z259" s="2174"/>
      <c r="AA259" s="2174"/>
      <c r="AB259" s="2174"/>
      <c r="AC259" s="2174"/>
    </row>
    <row r="260" spans="1:29">
      <c r="A260" s="2174"/>
      <c r="B260" s="2174"/>
      <c r="C260" s="2174"/>
      <c r="D260" s="2174"/>
      <c r="E260" s="2174"/>
      <c r="F260" s="2174"/>
      <c r="G260" s="2174"/>
      <c r="H260" s="2174"/>
      <c r="I260" s="2174"/>
      <c r="J260" s="2174"/>
      <c r="K260" s="2175"/>
      <c r="L260" s="2176"/>
      <c r="M260" s="2174"/>
      <c r="N260" s="2174"/>
      <c r="O260" s="2174"/>
      <c r="P260" s="2174"/>
      <c r="Q260" s="2174"/>
      <c r="R260" s="2174"/>
      <c r="S260" s="2174"/>
      <c r="T260" s="2174"/>
      <c r="U260" s="2174"/>
      <c r="V260" s="2174"/>
      <c r="W260" s="2174"/>
      <c r="X260" s="2174"/>
      <c r="Y260" s="2174"/>
      <c r="Z260" s="2174"/>
      <c r="AA260" s="2174"/>
      <c r="AB260" s="2174"/>
      <c r="AC260" s="2174"/>
    </row>
    <row r="261" spans="1:29">
      <c r="A261" s="2174"/>
      <c r="B261" s="2174"/>
      <c r="C261" s="2174"/>
      <c r="D261" s="2174"/>
      <c r="E261" s="2174"/>
      <c r="F261" s="2174"/>
      <c r="G261" s="2174"/>
      <c r="H261" s="2174"/>
      <c r="I261" s="2174"/>
      <c r="J261" s="2174"/>
      <c r="K261" s="2175"/>
      <c r="L261" s="2176"/>
      <c r="M261" s="2174"/>
      <c r="N261" s="2174"/>
      <c r="O261" s="2174"/>
      <c r="P261" s="2174"/>
      <c r="Q261" s="2174"/>
      <c r="R261" s="2174"/>
      <c r="S261" s="2174"/>
      <c r="T261" s="2174"/>
      <c r="U261" s="2174"/>
      <c r="V261" s="2174"/>
      <c r="W261" s="2174"/>
      <c r="X261" s="2174"/>
      <c r="Y261" s="2174"/>
      <c r="Z261" s="2174"/>
      <c r="AA261" s="2174"/>
      <c r="AB261" s="2174"/>
      <c r="AC261" s="2174"/>
    </row>
    <row r="262" spans="1:29">
      <c r="A262" s="2174"/>
      <c r="B262" s="2174"/>
      <c r="C262" s="2174"/>
      <c r="D262" s="2174"/>
      <c r="E262" s="2174"/>
      <c r="F262" s="2174"/>
      <c r="G262" s="2174"/>
      <c r="H262" s="2174"/>
      <c r="I262" s="2174"/>
      <c r="J262" s="2174"/>
      <c r="K262" s="2175"/>
      <c r="L262" s="2176"/>
      <c r="M262" s="2174"/>
      <c r="N262" s="2174"/>
      <c r="O262" s="2174"/>
      <c r="P262" s="2174"/>
      <c r="Q262" s="2174"/>
      <c r="R262" s="2174"/>
      <c r="S262" s="2174"/>
      <c r="T262" s="2174"/>
      <c r="U262" s="2174"/>
      <c r="V262" s="2174"/>
      <c r="W262" s="2174"/>
      <c r="X262" s="2174"/>
      <c r="Y262" s="2174"/>
      <c r="Z262" s="2174"/>
      <c r="AA262" s="2174"/>
      <c r="AB262" s="2174"/>
      <c r="AC262" s="2174"/>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63" priority="14" stopIfTrue="1" operator="containsText" text="超过">
      <formula>NOT(ISERROR(SEARCH("超过",F48)))</formula>
    </cfRule>
  </conditionalFormatting>
  <conditionalFormatting sqref="J50">
    <cfRule type="containsText" dxfId="162" priority="13" stopIfTrue="1" operator="containsText" text="超过">
      <formula>NOT(ISERROR(SEARCH("超过",J50)))</formula>
    </cfRule>
  </conditionalFormatting>
  <conditionalFormatting sqref="H50">
    <cfRule type="containsText" dxfId="161" priority="12" stopIfTrue="1" operator="containsText" text="超过">
      <formula>NOT(ISERROR(SEARCH("超过",H50)))</formula>
    </cfRule>
  </conditionalFormatting>
  <conditionalFormatting sqref="F50">
    <cfRule type="containsText" dxfId="160" priority="11" stopIfTrue="1" operator="containsText" text="超过">
      <formula>NOT(ISERROR(SEARCH("超过",F50)))</formula>
    </cfRule>
  </conditionalFormatting>
  <conditionalFormatting sqref="F49 H49 J49">
    <cfRule type="containsText" dxfId="159" priority="10" stopIfTrue="1" operator="containsText" text="超过">
      <formula>NOT(ISERROR(SEARCH("超过",F49)))</formula>
    </cfRule>
  </conditionalFormatting>
  <conditionalFormatting sqref="E48">
    <cfRule type="expression" dxfId="158" priority="9" stopIfTrue="1">
      <formula>$F$48="超过30%"</formula>
    </cfRule>
  </conditionalFormatting>
  <conditionalFormatting sqref="G50">
    <cfRule type="expression" dxfId="157" priority="8" stopIfTrue="1">
      <formula>$H$50="超过30%"</formula>
    </cfRule>
  </conditionalFormatting>
  <conditionalFormatting sqref="E50">
    <cfRule type="expression" dxfId="156" priority="6" stopIfTrue="1">
      <formula>$F$50="超过30%"</formula>
    </cfRule>
  </conditionalFormatting>
  <conditionalFormatting sqref="G48">
    <cfRule type="expression" dxfId="155" priority="5" stopIfTrue="1">
      <formula>$H$48="超过30%"</formula>
    </cfRule>
  </conditionalFormatting>
  <conditionalFormatting sqref="G49">
    <cfRule type="expression" dxfId="154" priority="4" stopIfTrue="1">
      <formula>$H$49="超过20%"</formula>
    </cfRule>
  </conditionalFormatting>
  <conditionalFormatting sqref="I48">
    <cfRule type="expression" dxfId="153" priority="3" stopIfTrue="1">
      <formula>$J$48="超过30%"</formula>
    </cfRule>
  </conditionalFormatting>
  <conditionalFormatting sqref="I49">
    <cfRule type="expression" dxfId="152" priority="2" stopIfTrue="1">
      <formula>$J$49="超过20%"</formula>
    </cfRule>
  </conditionalFormatting>
  <conditionalFormatting sqref="I50">
    <cfRule type="expression" dxfId="151" priority="1" stopIfTrue="1">
      <formula>$J$50="超过30%"</formula>
    </cfRule>
  </conditionalFormatting>
  <conditionalFormatting sqref="E49">
    <cfRule type="expression" dxfId="150"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F35" sqref="F35"/>
    </sheetView>
  </sheetViews>
  <sheetFormatPr defaultColWidth="12" defaultRowHeight="12"/>
  <cols>
    <col min="1" max="1" width="9.75" style="1399" customWidth="1"/>
    <col min="2" max="2" width="19.25" style="1523"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1688</v>
      </c>
      <c r="B1" s="1395"/>
      <c r="C1" s="1401" t="s">
        <v>2421</v>
      </c>
      <c r="D1" s="1516">
        <f>SUM(D29:D30,D33:D39)</f>
        <v>0</v>
      </c>
      <c r="E1" s="1401" t="s">
        <v>2422</v>
      </c>
      <c r="F1" s="2471"/>
      <c r="G1" s="1396"/>
      <c r="H1" s="1396"/>
      <c r="I1" s="1396"/>
      <c r="J1" s="1396"/>
      <c r="K1" s="1396"/>
      <c r="L1" s="1877" t="s">
        <v>2233</v>
      </c>
      <c r="M1" s="1878">
        <f>SUMPRODUCT((区片价!B5:B9=I2)*(区片价!C3:F3=E2)*(区片价!C5:F9))</f>
        <v>0</v>
      </c>
      <c r="N1" s="1879">
        <f>SUMPRODUCT((因素修正幅度!B5:B9=I2)*(因素修正幅度!C3:F3=E2)*(因素修正幅度!C5:F9))</f>
        <v>0</v>
      </c>
      <c r="O1" s="2184"/>
      <c r="P1" s="2184"/>
      <c r="Q1" s="2184"/>
      <c r="R1" s="2957" t="s">
        <v>2761</v>
      </c>
      <c r="S1" s="2957" t="s">
        <v>2762</v>
      </c>
      <c r="T1" s="2957" t="s">
        <v>2783</v>
      </c>
      <c r="U1" s="2957" t="s">
        <v>2784</v>
      </c>
      <c r="V1" s="2957" t="s">
        <v>2785</v>
      </c>
      <c r="W1" s="2184"/>
      <c r="X1" s="2184"/>
      <c r="Y1" s="2184"/>
      <c r="Z1" s="2184"/>
      <c r="AA1" s="2184"/>
      <c r="AB1" s="2184"/>
      <c r="AC1" s="2185"/>
    </row>
    <row r="2" spans="1:39" ht="15.75">
      <c r="A2" s="1401" t="s">
        <v>913</v>
      </c>
      <c r="B2" s="1033" t="e">
        <f>C26</f>
        <v>#DIV/0!</v>
      </c>
      <c r="C2" s="1402" t="s">
        <v>914</v>
      </c>
      <c r="D2" s="1403" t="s">
        <v>915</v>
      </c>
      <c r="E2" s="1404"/>
      <c r="F2" s="1403" t="s">
        <v>917</v>
      </c>
      <c r="G2" s="1647">
        <f>IF(E2="商业",项目基本情况!B43,IF(E2="办公",项目基本情况!C43,IF(E2="住宅",项目基本情况!D43,项目基本情况!E43)))</f>
        <v>0</v>
      </c>
      <c r="H2" s="1403" t="s">
        <v>919</v>
      </c>
      <c r="I2" s="1648">
        <f>IF(E2="商业",项目基本情况!B44,IF(E2="办公",项目基本情况!C44,IF(E2="住宅",项目基本情况!D44,项目基本情况!E44)))</f>
        <v>0</v>
      </c>
      <c r="J2" s="1405"/>
      <c r="K2" s="1396"/>
      <c r="L2" s="1880" t="s">
        <v>2234</v>
      </c>
      <c r="M2" s="1881">
        <f>SUMPRODUCT((区片价!B10:B28=I2)*(区片价!C3:F3=E2)*(区片价!C10:F28))</f>
        <v>0</v>
      </c>
      <c r="N2" s="1882">
        <f>SUMPRODUCT((因素修正幅度!B10:B28=I2)*(因素修正幅度!C3:F3=E2)*(因素修正幅度!C10:F28))</f>
        <v>0</v>
      </c>
      <c r="O2" s="2184"/>
      <c r="P2" s="2184"/>
      <c r="Q2" s="2184"/>
      <c r="R2" s="2958">
        <v>1</v>
      </c>
      <c r="S2" s="2958">
        <f>ROUND(IF(G3&gt;1,IF(R2&lt;7,SUMPRODUCT((B93:B98=R2)*(C92:N92=G2)*(C93:N98)),SUMIF(C92:N92,G2,C100:N100)),IF(R2&lt;7,SUMPRODUCT((B102:B107=R2)*(C92:N92=G2)*(C102:N107)),SUMIF(C92:N92,G2,C109:N109))),4)</f>
        <v>0</v>
      </c>
      <c r="T2" s="2958" t="e">
        <f>ROUND($C$5*$C$18*$C$19*$C$20*S2*$C$24,0)</f>
        <v>#DIV/0!</v>
      </c>
      <c r="U2" s="2947"/>
      <c r="V2" s="2958" t="e">
        <f>ROUND(T2*U2/10000,0)</f>
        <v>#DIV/0!</v>
      </c>
      <c r="W2" s="2184"/>
      <c r="X2" s="2184"/>
      <c r="Y2" s="2184"/>
      <c r="Z2" s="2184"/>
      <c r="AA2" s="2184"/>
      <c r="AB2" s="2184"/>
      <c r="AC2" s="2185"/>
    </row>
    <row r="3" spans="1:39" ht="15.75">
      <c r="A3" s="1406" t="s">
        <v>1681</v>
      </c>
      <c r="B3" s="1033" t="e">
        <f>ROUND(B2*10000/D1,0)</f>
        <v>#DIV/0!</v>
      </c>
      <c r="C3" s="1402" t="s">
        <v>920</v>
      </c>
      <c r="D3" s="1403" t="s">
        <v>921</v>
      </c>
      <c r="E3" s="1407"/>
      <c r="F3" s="1408" t="s">
        <v>2930</v>
      </c>
      <c r="G3" s="1034">
        <f>IF(F3="宗地容积率",'数据-汇总表'!I4,IF(F3="估价对象容积率",'数据-汇总表'!I6,'数据-汇总表'!I7))</f>
        <v>2.3199999999999998</v>
      </c>
      <c r="H3" s="1409" t="s">
        <v>922</v>
      </c>
      <c r="I3" s="1035">
        <v>8</v>
      </c>
      <c r="J3" s="1405" t="s">
        <v>923</v>
      </c>
      <c r="K3" s="1396"/>
      <c r="L3" s="1880" t="s">
        <v>2235</v>
      </c>
      <c r="M3" s="1881">
        <f>SUMPRODUCT((区片价!B29:B48=I2)*(区片价!C3:F3=E2)*(区片价!C29:F48))</f>
        <v>0</v>
      </c>
      <c r="N3" s="1882">
        <f>SUMPRODUCT((因素修正幅度!B29:B48=I2)*(因素修正幅度!C3:F3=E2)*(因素修正幅度!C29:F48))</f>
        <v>0</v>
      </c>
      <c r="O3" s="2184"/>
      <c r="P3" s="2184"/>
      <c r="Q3" s="2184"/>
      <c r="R3" s="2958">
        <v>2</v>
      </c>
      <c r="S3" s="2958">
        <f>ROUND(IF(G3&gt;1,IF(R3&lt;7,SUMPRODUCT((B93:B98=R3)*(C92:N92=G2)*(C93:N98)),SUMIF(C92:N92,G2,C100:N100)),IF(R3&lt;7,SUMPRODUCT((B102:B107=R3)*(C92:N92=G2)*(C102:N107)),SUMIF(C92:N92,G2,C109:N109))),4)</f>
        <v>0</v>
      </c>
      <c r="T3" s="2958" t="e">
        <f t="shared" ref="T3:T16" si="0">ROUND($C$5*$C$18*$C$19*$C$20*S3*$C$24,0)</f>
        <v>#DIV/0!</v>
      </c>
      <c r="U3" s="2947"/>
      <c r="V3" s="2958" t="e">
        <f t="shared" ref="V3:V16" si="1">ROUND(T3*U3/10000,0)</f>
        <v>#DIV/0!</v>
      </c>
      <c r="W3" s="2184"/>
      <c r="X3" s="2184"/>
      <c r="Y3" s="2184"/>
      <c r="Z3" s="2184"/>
      <c r="AA3" s="2184"/>
      <c r="AB3" s="2184"/>
      <c r="AC3" s="2185"/>
    </row>
    <row r="4" spans="1:39" ht="28.5">
      <c r="A4" s="1886" t="s">
        <v>2275</v>
      </c>
      <c r="B4" s="2472" t="e">
        <f>ROUND(B2*10000/F1,0)</f>
        <v>#DIV/0!</v>
      </c>
      <c r="C4" s="1889" t="s">
        <v>2249</v>
      </c>
      <c r="D4" s="1889" t="e">
        <f>ROUND(B2/(F1/666.67),0)</f>
        <v>#DIV/0!</v>
      </c>
      <c r="E4" s="1889" t="s">
        <v>2250</v>
      </c>
      <c r="F4" s="1887"/>
      <c r="G4" s="1887"/>
      <c r="H4" s="1887"/>
      <c r="I4" s="1887"/>
      <c r="J4" s="1888"/>
      <c r="K4" s="1396"/>
      <c r="L4" s="1880" t="s">
        <v>2236</v>
      </c>
      <c r="M4" s="1881">
        <f>SUMPRODUCT((区片价!B49:B75=I2)*(区片价!C3:F3=E2)*(区片价!C49:F75))</f>
        <v>0</v>
      </c>
      <c r="N4" s="1882">
        <f>SUMPRODUCT((因素修正幅度!B49:B75=I2)*(因素修正幅度!C3:F3=E2)*(因素修正幅度!C49:F75))</f>
        <v>0</v>
      </c>
      <c r="O4" s="2184"/>
      <c r="P4" s="2184"/>
      <c r="Q4" s="2184"/>
      <c r="R4" s="2958">
        <v>3</v>
      </c>
      <c r="S4" s="2958">
        <f>ROUND(IF(G3&gt;1,IF(R4&lt;7,SUMPRODUCT((B93:B98=R4)*(C92:N92=G2)*(C93:N98)),SUMIF(C92:N92,G2,C100:N100)),IF(R4&lt;7,SUMPRODUCT((B102:B107=R4)*(C92:N92=G2)*(C102:N107)),SUMIF(C92:N92,G2,C109:N109))),4)</f>
        <v>0</v>
      </c>
      <c r="T4" s="2958" t="e">
        <f t="shared" si="0"/>
        <v>#DIV/0!</v>
      </c>
      <c r="U4" s="2947"/>
      <c r="V4" s="2958" t="e">
        <f t="shared" si="1"/>
        <v>#DIV/0!</v>
      </c>
      <c r="W4" s="2184"/>
      <c r="X4" s="2184"/>
      <c r="Y4" s="2184"/>
      <c r="Z4" s="2184"/>
      <c r="AA4" s="2184"/>
      <c r="AB4" s="2184"/>
      <c r="AC4" s="2185"/>
    </row>
    <row r="5" spans="1:39" s="1416" customFormat="1" ht="15.75" thickBot="1">
      <c r="A5" s="1633" t="s">
        <v>1817</v>
      </c>
      <c r="B5" s="1410" t="s">
        <v>924</v>
      </c>
      <c r="C5" s="1036" t="e">
        <f>ROUND(IF(E2="商业",IF(F16="增加",C6*C7+C16,C6*C7-C16),IF(E2="住宅",IF(F16="增加",C6*C12+C16,C6*C12-C16),IF(F16="增加",C6+C16,C6-C16))),0)</f>
        <v>#DIV/0!</v>
      </c>
      <c r="D5" s="3141">
        <f>ROUND(IF(E2="商业",IF(F16="增加",C6+C16,C6-C16)),0)</f>
        <v>0</v>
      </c>
      <c r="E5" s="1411"/>
      <c r="F5" s="1411"/>
      <c r="G5" s="1412"/>
      <c r="H5" s="1412"/>
      <c r="I5" s="1412"/>
      <c r="J5" s="1413"/>
      <c r="K5" s="1589"/>
      <c r="L5" s="1880" t="s">
        <v>2237</v>
      </c>
      <c r="M5" s="1881">
        <f>SUMPRODUCT((区片价!B76:B109=I2)*(区片价!C3:F3=E2)*(区片价!C76:F109))</f>
        <v>0</v>
      </c>
      <c r="N5" s="1882">
        <f>SUMPRODUCT((因素修正幅度!B76:B109=I2)*(因素修正幅度!C3:F3=E2)*(因素修正幅度!C76:F109))</f>
        <v>0</v>
      </c>
      <c r="O5" s="2184"/>
      <c r="P5" s="2184"/>
      <c r="Q5" s="2184"/>
      <c r="R5" s="2958">
        <v>4</v>
      </c>
      <c r="S5" s="2958">
        <f>ROUND(IF(G3&gt;1,IF(R5&lt;7,SUMPRODUCT((B93:B98=R5)*(C92:N92=G2)*(C93:N98)),SUMIF(C92:N92,G2,C100:N100)),IF(R5&lt;7,SUMPRODUCT((B102:B107=R5)*(C92:N92=G2)*(C102:N107)),SUMIF(C92:N92,G2,C109:N109))),4)</f>
        <v>0</v>
      </c>
      <c r="T5" s="2958" t="e">
        <f t="shared" si="0"/>
        <v>#DIV/0!</v>
      </c>
      <c r="U5" s="2947"/>
      <c r="V5" s="2958" t="e">
        <f t="shared" si="1"/>
        <v>#DIV/0!</v>
      </c>
      <c r="W5" s="2184"/>
      <c r="X5" s="2184"/>
      <c r="Y5" s="2184"/>
      <c r="Z5" s="2184"/>
      <c r="AA5" s="2184"/>
      <c r="AB5" s="2184"/>
      <c r="AC5" s="2186"/>
      <c r="AD5" s="1414"/>
      <c r="AE5" s="1414"/>
      <c r="AF5" s="1414"/>
      <c r="AG5" s="1414"/>
      <c r="AH5" s="1414"/>
      <c r="AI5" s="1414"/>
      <c r="AJ5" s="1415"/>
      <c r="AK5" s="1415"/>
      <c r="AL5" s="1415"/>
      <c r="AM5" s="1415"/>
    </row>
    <row r="6" spans="1:39" ht="15.75" thickBot="1">
      <c r="A6" s="1634" t="s">
        <v>1864</v>
      </c>
      <c r="B6" s="1417" t="s">
        <v>924</v>
      </c>
      <c r="C6" s="1037">
        <f>SUMIF(L1:L12,基准地价!G2,M1:M12)</f>
        <v>0</v>
      </c>
      <c r="D6" s="1418" t="s">
        <v>1689</v>
      </c>
      <c r="E6" s="1419"/>
      <c r="F6" s="1419"/>
      <c r="G6" s="1420"/>
      <c r="H6" s="1420"/>
      <c r="I6" s="1420"/>
      <c r="J6" s="1421"/>
      <c r="K6" s="1590"/>
      <c r="L6" s="1880" t="s">
        <v>2238</v>
      </c>
      <c r="M6" s="1881">
        <f>SUMPRODUCT((区片价!B110:B157=I2)*(区片价!C3:F3=E2)*(区片价!C110:F157))</f>
        <v>0</v>
      </c>
      <c r="N6" s="1882">
        <f>SUMPRODUCT((因素修正幅度!B110:B157=I2)*(因素修正幅度!C3:F3=E2)*(因素修正幅度!C110:F157))</f>
        <v>0</v>
      </c>
      <c r="O6" s="2184"/>
      <c r="P6" s="2184"/>
      <c r="Q6" s="2184"/>
      <c r="R6" s="2958">
        <v>5</v>
      </c>
      <c r="S6" s="2958">
        <f>ROUND(IF(G3&gt;1,IF(R6&lt;7,SUMPRODUCT((B93:B98=R6)*(C92:N92=G2)*(C93:N98)),SUMIF(C92:N92,G2,C100:N100)),IF(R6&lt;7,SUMPRODUCT((B102:B107=R6)*(C92:N92=G2)*(C102:N107)),SUMIF(C92:N92,G2,C109:N109))),4)</f>
        <v>0</v>
      </c>
      <c r="T6" s="2958" t="e">
        <f t="shared" si="0"/>
        <v>#DIV/0!</v>
      </c>
      <c r="U6" s="2947"/>
      <c r="V6" s="2958" t="e">
        <f t="shared" si="1"/>
        <v>#DIV/0!</v>
      </c>
      <c r="W6" s="2184"/>
      <c r="X6" s="2184"/>
      <c r="Y6" s="2184"/>
      <c r="Z6" s="2184"/>
      <c r="AA6" s="2184"/>
      <c r="AB6" s="2184"/>
      <c r="AC6" s="2186"/>
      <c r="AD6" s="1414"/>
      <c r="AE6" s="1414"/>
      <c r="AF6" s="1414"/>
      <c r="AG6" s="1414"/>
      <c r="AH6" s="1414"/>
      <c r="AI6" s="1414"/>
      <c r="AJ6" s="1415"/>
    </row>
    <row r="7" spans="1:39" ht="24">
      <c r="A7" s="3500" t="str">
        <f>IF(E2="商业",IF(C8="不临58条商业街","",2),"")</f>
        <v/>
      </c>
      <c r="B7" s="1422" t="s">
        <v>925</v>
      </c>
      <c r="C7" s="1038" t="e">
        <f>IF(C8="不临58条商业街",1,ROUND(1+(1.6*E8+1.2*E9+0.8*E10+0.4*E11)*C9,4))</f>
        <v>#DIV/0!</v>
      </c>
      <c r="D7" s="1423" t="s">
        <v>926</v>
      </c>
      <c r="E7" s="1039"/>
      <c r="F7" s="1424"/>
      <c r="G7" s="1425"/>
      <c r="H7" s="1425"/>
      <c r="I7" s="1425"/>
      <c r="J7" s="1426"/>
      <c r="K7" s="1590"/>
      <c r="L7" s="1880" t="s">
        <v>2239</v>
      </c>
      <c r="M7" s="1881">
        <f>SUMPRODUCT((区片价!B158:B205=I2)*(区片价!C3:F3=E2)*(区片价!C158:F205))</f>
        <v>0</v>
      </c>
      <c r="N7" s="1882">
        <f>SUMPRODUCT((因素修正幅度!B158:B205=I2)*(因素修正幅度!C3:F3=E2)*(因素修正幅度!C158:F205))</f>
        <v>0</v>
      </c>
      <c r="O7" s="2184"/>
      <c r="P7" s="2184"/>
      <c r="Q7" s="2184"/>
      <c r="R7" s="2958">
        <v>6</v>
      </c>
      <c r="S7" s="2958">
        <f>ROUND(IF(G3&gt;1,IF(R7&lt;7,SUMPRODUCT((B93:B98=R7)*(C92:N92=G2)*(C93:N98)),SUMIF(C92:N92,G2,C100:N100)),IF(R7&lt;7,SUMPRODUCT((B102:B107=R7)*(C92:N92=G2)*(C102:N107)),SUMIF(C92:N92,G2,C109:N109))),4)</f>
        <v>0</v>
      </c>
      <c r="T7" s="2958" t="e">
        <f t="shared" si="0"/>
        <v>#DIV/0!</v>
      </c>
      <c r="U7" s="2947"/>
      <c r="V7" s="2958" t="e">
        <f t="shared" si="1"/>
        <v>#DIV/0!</v>
      </c>
      <c r="W7" s="2956" t="s">
        <v>2764</v>
      </c>
      <c r="X7" s="2948">
        <f>G2</f>
        <v>0</v>
      </c>
      <c r="Y7" s="2948" t="s">
        <v>2765</v>
      </c>
      <c r="Z7" s="2949">
        <f>G3</f>
        <v>2.3199999999999998</v>
      </c>
      <c r="AA7" s="2187"/>
      <c r="AB7" s="2187"/>
      <c r="AC7" s="2188"/>
      <c r="AD7" s="2950"/>
      <c r="AE7" s="2950"/>
      <c r="AF7" s="2950"/>
      <c r="AG7" s="2950"/>
      <c r="AH7" s="2950"/>
      <c r="AI7" s="2950"/>
      <c r="AJ7" s="2951"/>
    </row>
    <row r="8" spans="1:39" ht="15">
      <c r="A8" s="3501"/>
      <c r="B8" s="1409" t="s">
        <v>927</v>
      </c>
      <c r="C8" s="1524"/>
      <c r="D8" s="1040" t="s">
        <v>928</v>
      </c>
      <c r="E8" s="1041" t="e">
        <f>ROUND(C11/E7,4)</f>
        <v>#DIV/0!</v>
      </c>
      <c r="F8" s="1427" t="s">
        <v>929</v>
      </c>
      <c r="G8" s="1428"/>
      <c r="H8" s="1428"/>
      <c r="I8" s="1428"/>
      <c r="J8" s="1429"/>
      <c r="K8" s="1396"/>
      <c r="L8" s="1880" t="s">
        <v>2240</v>
      </c>
      <c r="M8" s="1881">
        <f>SUMPRODUCT((区片价!B206:B244=I2)*(区片价!C3:F3=E2)*(区片价!C206:F244))</f>
        <v>0</v>
      </c>
      <c r="N8" s="1882">
        <f>SUMPRODUCT((因素修正幅度!B206:B244=I2)*(因素修正幅度!C3:F3=E2)*(因素修正幅度!C206:F244))</f>
        <v>0</v>
      </c>
      <c r="O8" s="2184"/>
      <c r="P8" s="2184"/>
      <c r="Q8" s="2184"/>
      <c r="R8" s="2958">
        <v>7</v>
      </c>
      <c r="S8" s="2947"/>
      <c r="T8" s="2958" t="e">
        <f t="shared" si="0"/>
        <v>#DIV/0!</v>
      </c>
      <c r="U8" s="2947"/>
      <c r="V8" s="2958" t="e">
        <f t="shared" si="1"/>
        <v>#DIV/0!</v>
      </c>
      <c r="W8" s="3510" t="s">
        <v>2782</v>
      </c>
      <c r="X8" s="3511"/>
      <c r="Y8" s="1844" t="s">
        <v>2766</v>
      </c>
      <c r="Z8" s="1844" t="s">
        <v>2767</v>
      </c>
      <c r="AA8" s="1844" t="s">
        <v>2768</v>
      </c>
      <c r="AB8" s="1844" t="s">
        <v>2769</v>
      </c>
      <c r="AC8" s="1844" t="s">
        <v>2770</v>
      </c>
      <c r="AD8" s="1844" t="s">
        <v>2771</v>
      </c>
      <c r="AE8" s="1844" t="s">
        <v>2772</v>
      </c>
      <c r="AF8" s="1844" t="s">
        <v>2773</v>
      </c>
      <c r="AG8" s="1844" t="s">
        <v>2774</v>
      </c>
      <c r="AH8" s="1844" t="s">
        <v>2775</v>
      </c>
      <c r="AI8" s="1844" t="s">
        <v>2776</v>
      </c>
      <c r="AJ8" s="1844" t="s">
        <v>2777</v>
      </c>
    </row>
    <row r="9" spans="1:39" ht="15">
      <c r="A9" s="3501"/>
      <c r="B9" s="1409" t="s">
        <v>930</v>
      </c>
      <c r="C9" s="1042">
        <f>SUMIF(修正!C59:C119,C8,修正!E59:E119)</f>
        <v>0</v>
      </c>
      <c r="D9" s="1043" t="s">
        <v>931</v>
      </c>
      <c r="E9" s="1043" t="e">
        <f>ROUND(C11/E7,4)</f>
        <v>#DIV/0!</v>
      </c>
      <c r="F9" s="1427" t="s">
        <v>932</v>
      </c>
      <c r="G9" s="1428"/>
      <c r="H9" s="1428"/>
      <c r="I9" s="1428"/>
      <c r="J9" s="1429"/>
      <c r="K9" s="1396"/>
      <c r="L9" s="1880" t="s">
        <v>2241</v>
      </c>
      <c r="M9" s="1881">
        <f>SUMPRODUCT((区片价!B245:B289=I2)*(区片价!C3:F3=E2)*(区片价!C245:F289))</f>
        <v>0</v>
      </c>
      <c r="N9" s="1882">
        <f>SUMPRODUCT((因素修正幅度!B245:B289=I2)*(因素修正幅度!C3:F3=E2)*(因素修正幅度!C245:F289))</f>
        <v>0</v>
      </c>
      <c r="O9" s="2184"/>
      <c r="P9" s="2184"/>
      <c r="Q9" s="2184"/>
      <c r="R9" s="2958">
        <v>8</v>
      </c>
      <c r="S9" s="2947"/>
      <c r="T9" s="2958" t="e">
        <f t="shared" si="0"/>
        <v>#DIV/0!</v>
      </c>
      <c r="U9" s="2947"/>
      <c r="V9" s="2958" t="e">
        <f t="shared" si="1"/>
        <v>#DIV/0!</v>
      </c>
      <c r="W9" s="3509" t="s">
        <v>2778</v>
      </c>
      <c r="X9" s="2952" t="s">
        <v>2779</v>
      </c>
      <c r="Y9" s="3115"/>
      <c r="Z9" s="2953">
        <f>$Y$9</f>
        <v>0</v>
      </c>
      <c r="AA9" s="2953">
        <f t="shared" ref="AA9:AJ9" si="2">$Y$9</f>
        <v>0</v>
      </c>
      <c r="AB9" s="2953">
        <f t="shared" si="2"/>
        <v>0</v>
      </c>
      <c r="AC9" s="2953">
        <f t="shared" si="2"/>
        <v>0</v>
      </c>
      <c r="AD9" s="2953">
        <f t="shared" si="2"/>
        <v>0</v>
      </c>
      <c r="AE9" s="2953">
        <f t="shared" si="2"/>
        <v>0</v>
      </c>
      <c r="AF9" s="2953">
        <f t="shared" si="2"/>
        <v>0</v>
      </c>
      <c r="AG9" s="2953">
        <f t="shared" si="2"/>
        <v>0</v>
      </c>
      <c r="AH9" s="2953">
        <f t="shared" si="2"/>
        <v>0</v>
      </c>
      <c r="AI9" s="2953">
        <f t="shared" si="2"/>
        <v>0</v>
      </c>
      <c r="AJ9" s="2953">
        <f t="shared" si="2"/>
        <v>0</v>
      </c>
    </row>
    <row r="10" spans="1:39" ht="15">
      <c r="A10" s="3501"/>
      <c r="B10" s="1409" t="s">
        <v>933</v>
      </c>
      <c r="C10" s="1043">
        <f>SUMIF(修正!C59:C119,C8,修正!F59:F119)</f>
        <v>0</v>
      </c>
      <c r="D10" s="1043" t="s">
        <v>934</v>
      </c>
      <c r="E10" s="1043" t="e">
        <f>ROUND(C11/E7,4)</f>
        <v>#DIV/0!</v>
      </c>
      <c r="F10" s="1427" t="s">
        <v>935</v>
      </c>
      <c r="G10" s="1428"/>
      <c r="H10" s="1428"/>
      <c r="I10" s="1428"/>
      <c r="J10" s="1429"/>
      <c r="K10" s="1396"/>
      <c r="L10" s="1880" t="s">
        <v>2242</v>
      </c>
      <c r="M10" s="1881">
        <f>SUMPRODUCT((区片价!B290:B316=I2)*(区片价!C3:F3=E2)*(区片价!C290:F316))</f>
        <v>0</v>
      </c>
      <c r="N10" s="1882">
        <f>SUMPRODUCT((因素修正幅度!B290:B316=I2)*(因素修正幅度!C3:F3=E2)*(因素修正幅度!C290:F316))</f>
        <v>0</v>
      </c>
      <c r="O10" s="2184"/>
      <c r="P10" s="2184"/>
      <c r="Q10" s="2184"/>
      <c r="R10" s="2958">
        <v>9</v>
      </c>
      <c r="S10" s="2947"/>
      <c r="T10" s="2958" t="e">
        <f t="shared" si="0"/>
        <v>#DIV/0!</v>
      </c>
      <c r="U10" s="2947"/>
      <c r="V10" s="2958" t="e">
        <f t="shared" si="1"/>
        <v>#DIV/0!</v>
      </c>
      <c r="W10" s="3509"/>
      <c r="X10" s="2952">
        <v>7</v>
      </c>
      <c r="Y10" s="2954">
        <f>(-0.163*(Y9^2)-0.59*Y9+7617)*(10^(-4))</f>
        <v>0.76170000000000004</v>
      </c>
      <c r="Z10" s="2954">
        <f>(-0.163*(Z9^2)-0.59*Z9+7617)*(10^(-4))</f>
        <v>0.76170000000000004</v>
      </c>
      <c r="AA10" s="2954">
        <f>(-0.161*(AA9^2)-7.509*AA9+6533)*(10^(-4))</f>
        <v>0.65329999999999999</v>
      </c>
      <c r="AB10" s="2954">
        <f>(-0.161*(AB9^2)-7.509*AB9+6533)*(10^(-4))</f>
        <v>0.65329999999999999</v>
      </c>
      <c r="AC10" s="2954">
        <f>(-0.161*(AC9^2)-7.509*AC9+6533)*(10^(-4))</f>
        <v>0.65329999999999999</v>
      </c>
      <c r="AD10" s="2954">
        <f>(-0.161*(AD9^2)-7.509*AD9+6533)*(10^(-4))</f>
        <v>0.65329999999999999</v>
      </c>
      <c r="AE10" s="2954">
        <f>(-0.161*(AE9^2)-7.509*AE9+6533)*(10^(-4))</f>
        <v>0.65329999999999999</v>
      </c>
      <c r="AF10" s="2954">
        <f>(-0.214*(AF9^2)-21.991*AF9+4665)*(10^(-4))</f>
        <v>0.46650000000000003</v>
      </c>
      <c r="AG10" s="2954">
        <f>(-0.214*(AG9^2)-21.991*AG9+4665)*(10^(-4))</f>
        <v>0.46650000000000003</v>
      </c>
      <c r="AH10" s="2954">
        <f>(-0.214*(AH9^2)-21.991*AH9+4665)*(10^(-4))</f>
        <v>0.46650000000000003</v>
      </c>
      <c r="AI10" s="2954">
        <f>(-0.214*(AI9^2)-21.991*AI9+4665)*(10^(-4))</f>
        <v>0.46650000000000003</v>
      </c>
      <c r="AJ10" s="2954">
        <f>(-0.214*(AJ9^2)-21.991*AJ9+4665)*(10^(-4))</f>
        <v>0.46650000000000003</v>
      </c>
    </row>
    <row r="11" spans="1:39" ht="15.75" customHeight="1" thickBot="1">
      <c r="A11" s="3501"/>
      <c r="B11" s="1430" t="s">
        <v>936</v>
      </c>
      <c r="C11" s="1044">
        <f>C10/4</f>
        <v>0</v>
      </c>
      <c r="D11" s="1044" t="s">
        <v>937</v>
      </c>
      <c r="E11" s="1044" t="e">
        <f>ROUND(C11/E7,4)</f>
        <v>#DIV/0!</v>
      </c>
      <c r="F11" s="1431" t="s">
        <v>938</v>
      </c>
      <c r="G11" s="1432"/>
      <c r="H11" s="1432"/>
      <c r="I11" s="1432"/>
      <c r="J11" s="1433"/>
      <c r="K11" s="1396"/>
      <c r="L11" s="1880" t="s">
        <v>2243</v>
      </c>
      <c r="M11" s="1881">
        <f>SUMPRODUCT((区片价!B317:B337=I2)*(区片价!C3:F3=E2)*(区片价!C317:F337))</f>
        <v>0</v>
      </c>
      <c r="N11" s="1882">
        <f>SUMPRODUCT((因素修正幅度!B317:B337=I2)*(因素修正幅度!C3:F3=E2)*(因素修正幅度!C317:F337))</f>
        <v>0</v>
      </c>
      <c r="O11" s="2184"/>
      <c r="P11" s="2184"/>
      <c r="Q11" s="2184"/>
      <c r="R11" s="2958">
        <v>10</v>
      </c>
      <c r="S11" s="2947"/>
      <c r="T11" s="2958" t="e">
        <f t="shared" si="0"/>
        <v>#DIV/0!</v>
      </c>
      <c r="U11" s="2947"/>
      <c r="V11" s="2958" t="e">
        <f t="shared" si="1"/>
        <v>#DIV/0!</v>
      </c>
      <c r="W11" s="3509" t="s">
        <v>2780</v>
      </c>
      <c r="X11" s="1043" t="s">
        <v>2765</v>
      </c>
      <c r="Y11" s="1648">
        <f>$G$3</f>
        <v>2.3199999999999998</v>
      </c>
      <c r="Z11" s="1648">
        <f t="shared" ref="Z11:AJ11" si="3">$G$3</f>
        <v>2.3199999999999998</v>
      </c>
      <c r="AA11" s="1648">
        <f t="shared" si="3"/>
        <v>2.3199999999999998</v>
      </c>
      <c r="AB11" s="1648">
        <f t="shared" si="3"/>
        <v>2.3199999999999998</v>
      </c>
      <c r="AC11" s="1648">
        <f t="shared" si="3"/>
        <v>2.3199999999999998</v>
      </c>
      <c r="AD11" s="1648">
        <f t="shared" si="3"/>
        <v>2.3199999999999998</v>
      </c>
      <c r="AE11" s="1648">
        <f t="shared" si="3"/>
        <v>2.3199999999999998</v>
      </c>
      <c r="AF11" s="1648">
        <f t="shared" si="3"/>
        <v>2.3199999999999998</v>
      </c>
      <c r="AG11" s="1648">
        <f t="shared" si="3"/>
        <v>2.3199999999999998</v>
      </c>
      <c r="AH11" s="1648">
        <f t="shared" si="3"/>
        <v>2.3199999999999998</v>
      </c>
      <c r="AI11" s="1648">
        <f t="shared" si="3"/>
        <v>2.3199999999999998</v>
      </c>
      <c r="AJ11" s="1648">
        <f t="shared" si="3"/>
        <v>2.3199999999999998</v>
      </c>
    </row>
    <row r="12" spans="1:39" ht="25.5" thickBot="1">
      <c r="A12" s="3500" t="s">
        <v>1865</v>
      </c>
      <c r="B12" s="1434" t="s">
        <v>939</v>
      </c>
      <c r="C12" s="1038">
        <f>ROUND(C15*D15*E15*F15*G15*H15*I15*J15,4)</f>
        <v>1</v>
      </c>
      <c r="D12" s="1435" t="s">
        <v>940</v>
      </c>
      <c r="E12" s="1436"/>
      <c r="F12" s="1436"/>
      <c r="G12" s="1437"/>
      <c r="H12" s="1437"/>
      <c r="I12" s="1437"/>
      <c r="J12" s="1438"/>
      <c r="K12" s="1396"/>
      <c r="L12" s="1883" t="s">
        <v>2244</v>
      </c>
      <c r="M12" s="1884">
        <f>SUMPRODUCT((区片价!B338:B344=I2)*(区片价!C3:F3=E2)*(区片价!C338:F344))</f>
        <v>0</v>
      </c>
      <c r="N12" s="1885">
        <f>SUMPRODUCT((因素修正幅度!B338:B344=I2)*(因素修正幅度!C3:F3=E2)*(因素修正幅度!C338:F344))</f>
        <v>0</v>
      </c>
      <c r="O12" s="2184"/>
      <c r="P12" s="2184"/>
      <c r="Q12" s="2184"/>
      <c r="R12" s="2958">
        <v>11</v>
      </c>
      <c r="S12" s="2947"/>
      <c r="T12" s="2958" t="e">
        <f t="shared" si="0"/>
        <v>#DIV/0!</v>
      </c>
      <c r="U12" s="2947"/>
      <c r="V12" s="2958" t="e">
        <f t="shared" si="1"/>
        <v>#DIV/0!</v>
      </c>
      <c r="W12" s="3509"/>
      <c r="X12" s="2955" t="s">
        <v>2781</v>
      </c>
      <c r="Y12" s="2953">
        <f t="shared" ref="Y12:AJ12" si="4">Y9</f>
        <v>0</v>
      </c>
      <c r="Z12" s="2953">
        <f t="shared" si="4"/>
        <v>0</v>
      </c>
      <c r="AA12" s="2953">
        <f t="shared" si="4"/>
        <v>0</v>
      </c>
      <c r="AB12" s="2953">
        <f t="shared" si="4"/>
        <v>0</v>
      </c>
      <c r="AC12" s="2953">
        <f t="shared" si="4"/>
        <v>0</v>
      </c>
      <c r="AD12" s="2953">
        <f t="shared" si="4"/>
        <v>0</v>
      </c>
      <c r="AE12" s="2953">
        <f t="shared" si="4"/>
        <v>0</v>
      </c>
      <c r="AF12" s="2953">
        <f t="shared" si="4"/>
        <v>0</v>
      </c>
      <c r="AG12" s="2953">
        <f t="shared" si="4"/>
        <v>0</v>
      </c>
      <c r="AH12" s="2953">
        <f t="shared" si="4"/>
        <v>0</v>
      </c>
      <c r="AI12" s="2953">
        <f t="shared" si="4"/>
        <v>0</v>
      </c>
      <c r="AJ12" s="2953">
        <f t="shared" si="4"/>
        <v>0</v>
      </c>
    </row>
    <row r="13" spans="1:39" ht="24">
      <c r="A13" s="3502"/>
      <c r="B13" s="1439" t="s">
        <v>1690</v>
      </c>
      <c r="C13" s="1440" t="s">
        <v>1691</v>
      </c>
      <c r="D13" s="1084" t="s">
        <v>1692</v>
      </c>
      <c r="E13" s="1084" t="s">
        <v>1693</v>
      </c>
      <c r="F13" s="1441" t="s">
        <v>941</v>
      </c>
      <c r="G13" s="1442" t="s">
        <v>1636</v>
      </c>
      <c r="H13" s="1443" t="s">
        <v>1636</v>
      </c>
      <c r="I13" s="1444" t="s">
        <v>1636</v>
      </c>
      <c r="J13" s="1445" t="s">
        <v>1636</v>
      </c>
      <c r="K13" s="1396"/>
      <c r="L13" s="2184"/>
      <c r="M13" s="2184"/>
      <c r="N13" s="2184"/>
      <c r="O13" s="2184"/>
      <c r="P13" s="2184"/>
      <c r="Q13" s="2184"/>
      <c r="R13" s="2958">
        <v>12</v>
      </c>
      <c r="S13" s="2947"/>
      <c r="T13" s="2958" t="e">
        <f t="shared" si="0"/>
        <v>#DIV/0!</v>
      </c>
      <c r="U13" s="2947"/>
      <c r="V13" s="2958" t="e">
        <f t="shared" si="1"/>
        <v>#DIV/0!</v>
      </c>
      <c r="W13" s="3509"/>
      <c r="X13" s="2955"/>
      <c r="Y13" s="2954">
        <f>(-0.163*(Y12^2)-0.59*Y12+7617)*(10^(-4))/Y11</f>
        <v>0.32831896551724143</v>
      </c>
      <c r="Z13" s="2954">
        <f t="shared" ref="Z13:AJ13" si="5">(-0.163*(Z12^2)-0.59*Z12+7617)*(10^(-4))/Z11</f>
        <v>0.32831896551724143</v>
      </c>
      <c r="AA13" s="2954">
        <f t="shared" si="5"/>
        <v>0.32831896551724143</v>
      </c>
      <c r="AB13" s="2954">
        <f t="shared" si="5"/>
        <v>0.32831896551724143</v>
      </c>
      <c r="AC13" s="2954">
        <f t="shared" si="5"/>
        <v>0.32831896551724143</v>
      </c>
      <c r="AD13" s="2954">
        <f t="shared" si="5"/>
        <v>0.32831896551724143</v>
      </c>
      <c r="AE13" s="2954">
        <f t="shared" si="5"/>
        <v>0.32831896551724143</v>
      </c>
      <c r="AF13" s="2954">
        <f t="shared" si="5"/>
        <v>0.32831896551724143</v>
      </c>
      <c r="AG13" s="2954">
        <f t="shared" si="5"/>
        <v>0.32831896551724143</v>
      </c>
      <c r="AH13" s="2954">
        <f t="shared" si="5"/>
        <v>0.32831896551724143</v>
      </c>
      <c r="AI13" s="2954">
        <f t="shared" si="5"/>
        <v>0.32831896551724143</v>
      </c>
      <c r="AJ13" s="2954">
        <f t="shared" si="5"/>
        <v>0.32831896551724143</v>
      </c>
    </row>
    <row r="14" spans="1:39" ht="12.75" customHeight="1" thickBot="1">
      <c r="A14" s="3502"/>
      <c r="B14" s="1446"/>
      <c r="C14" s="1447"/>
      <c r="D14" s="1448"/>
      <c r="E14" s="1448"/>
      <c r="F14" s="1449"/>
      <c r="G14" s="1450" t="s">
        <v>942</v>
      </c>
      <c r="H14" s="1451"/>
      <c r="I14" s="1452"/>
      <c r="J14" s="1453"/>
      <c r="K14" s="1396"/>
      <c r="L14" s="2184"/>
      <c r="M14" s="2184"/>
      <c r="N14" s="2184"/>
      <c r="O14" s="2184"/>
      <c r="P14" s="2184"/>
      <c r="Q14" s="2184"/>
      <c r="R14" s="2958">
        <v>13</v>
      </c>
      <c r="S14" s="2947"/>
      <c r="T14" s="2958" t="e">
        <f t="shared" si="0"/>
        <v>#DIV/0!</v>
      </c>
      <c r="U14" s="2947"/>
      <c r="V14" s="2958" t="e">
        <f t="shared" si="1"/>
        <v>#DIV/0!</v>
      </c>
      <c r="W14" s="2184"/>
      <c r="X14" s="2184"/>
      <c r="Y14" s="2184"/>
      <c r="Z14" s="2184"/>
      <c r="AA14" s="2184"/>
      <c r="AB14" s="2184"/>
      <c r="AC14" s="2185"/>
    </row>
    <row r="15" spans="1:39" ht="13.5" customHeight="1" thickBot="1">
      <c r="A15" s="3503"/>
      <c r="B15" s="1454" t="s">
        <v>1694</v>
      </c>
      <c r="C15" s="1046">
        <f>IF(C14="有",1.1,1)</f>
        <v>1</v>
      </c>
      <c r="D15" s="1046">
        <f>IF(D14="有",1.1,1)</f>
        <v>1</v>
      </c>
      <c r="E15" s="1046">
        <f>IF(E14="有",1.1,1)</f>
        <v>1</v>
      </c>
      <c r="F15" s="1046">
        <f>IF(F14="500米范围内",1.2,IF(F14="500-1000米",1.1,1))</f>
        <v>1</v>
      </c>
      <c r="G15" s="1047">
        <v>1</v>
      </c>
      <c r="H15" s="1047">
        <v>1</v>
      </c>
      <c r="I15" s="1047">
        <v>1</v>
      </c>
      <c r="J15" s="1048">
        <v>1</v>
      </c>
      <c r="K15" s="1396"/>
      <c r="L15" s="1593" t="s">
        <v>891</v>
      </c>
      <c r="M15" s="1423" t="s">
        <v>977</v>
      </c>
      <c r="N15" s="1423" t="s">
        <v>978</v>
      </c>
      <c r="O15" s="1423" t="s">
        <v>895</v>
      </c>
      <c r="P15" s="1471" t="s">
        <v>979</v>
      </c>
      <c r="Q15" s="2184"/>
      <c r="R15" s="2958">
        <v>14</v>
      </c>
      <c r="S15" s="2947"/>
      <c r="T15" s="2958" t="e">
        <f t="shared" si="0"/>
        <v>#DIV/0!</v>
      </c>
      <c r="U15" s="2947"/>
      <c r="V15" s="2958" t="e">
        <f t="shared" si="1"/>
        <v>#DIV/0!</v>
      </c>
      <c r="W15" s="2184"/>
      <c r="X15" s="2184"/>
      <c r="Y15" s="2184"/>
      <c r="Z15" s="2184"/>
      <c r="AA15" s="2184"/>
      <c r="AB15" s="2184"/>
      <c r="AC15" s="2185"/>
    </row>
    <row r="16" spans="1:39" ht="24">
      <c r="A16" s="3500" t="s">
        <v>1832</v>
      </c>
      <c r="B16" s="1422" t="s">
        <v>943</v>
      </c>
      <c r="C16" s="1049" t="e">
        <f>ROUND(SUM(G17:J17)/C17,0)</f>
        <v>#DIV/0!</v>
      </c>
      <c r="D16" s="1455" t="s">
        <v>944</v>
      </c>
      <c r="E16" s="1456"/>
      <c r="F16" s="1457"/>
      <c r="G16" s="1458"/>
      <c r="H16" s="1458"/>
      <c r="I16" s="1458"/>
      <c r="J16" s="1458"/>
      <c r="K16" s="1396"/>
      <c r="L16" s="1459" t="s">
        <v>981</v>
      </c>
      <c r="M16" s="1042">
        <v>0.25</v>
      </c>
      <c r="N16" s="1042">
        <v>0.2</v>
      </c>
      <c r="O16" s="1042">
        <v>0.15</v>
      </c>
      <c r="P16" s="1534">
        <v>0.1</v>
      </c>
      <c r="Q16" s="2187"/>
      <c r="R16" s="2958">
        <v>15</v>
      </c>
      <c r="S16" s="2947"/>
      <c r="T16" s="2958" t="e">
        <f t="shared" si="0"/>
        <v>#DIV/0!</v>
      </c>
      <c r="U16" s="2947"/>
      <c r="V16" s="2958" t="e">
        <f t="shared" si="1"/>
        <v>#DIV/0!</v>
      </c>
      <c r="W16" s="2187"/>
      <c r="X16" s="2187"/>
      <c r="Y16" s="2187"/>
      <c r="Z16" s="2187"/>
      <c r="AA16" s="2187"/>
      <c r="AB16" s="2187"/>
      <c r="AC16" s="2188"/>
    </row>
    <row r="17" spans="1:40" ht="13.5" thickBot="1">
      <c r="A17" s="3501"/>
      <c r="B17" s="1460" t="s">
        <v>946</v>
      </c>
      <c r="C17" s="1050">
        <f>SUMPRODUCT((修正!A2:A5=E2)*(修正!B1:M1=G2)*(修正!B2:M5))</f>
        <v>0</v>
      </c>
      <c r="D17" s="1462" t="s">
        <v>947</v>
      </c>
      <c r="E17" s="1463" t="str">
        <f>IF(OR(G2="八级",G2="九级",G2="十级",G2="十一级",G2="十二级"),"五通一平","七通一平")</f>
        <v>七通一平</v>
      </c>
      <c r="F17" s="1461" t="s">
        <v>948</v>
      </c>
      <c r="G17" s="1050">
        <f>SUMPRODUCT((七通一平=G16)*(修正!B1:M1=G2)*(修正!B6:M14))</f>
        <v>0</v>
      </c>
      <c r="H17" s="1050">
        <f>SUMPRODUCT((七通一平=H16)*(修正!B1:M1=G2)*(修正!B6:M14))</f>
        <v>0</v>
      </c>
      <c r="I17" s="1050">
        <f>SUMPRODUCT((七通一平=I16)*(修正!B1:M1=G2)*(修正!B6:M14))</f>
        <v>0</v>
      </c>
      <c r="J17" s="1051">
        <f>SUMPRODUCT((七通一平=J16)*(修正!B1:M1=G2)*(修正!B6:M14))</f>
        <v>0</v>
      </c>
      <c r="K17" s="1396"/>
      <c r="L17" s="1464" t="s">
        <v>967</v>
      </c>
      <c r="M17" s="1535">
        <f ca="1">ROUND($E$20*(1+M16),3)</f>
        <v>5.3999999999999999E-2</v>
      </c>
      <c r="N17" s="1535">
        <f ca="1">ROUND($E$20*(1+N16),3)</f>
        <v>5.1999999999999998E-2</v>
      </c>
      <c r="O17" s="1535">
        <f ca="1">ROUND($E$20*(1+O16),3)</f>
        <v>0.05</v>
      </c>
      <c r="P17" s="1536">
        <f ca="1">ROUND($E$20*(1+P16),3)</f>
        <v>4.8000000000000001E-2</v>
      </c>
      <c r="Q17" s="2187"/>
      <c r="R17" s="2188"/>
      <c r="S17" s="2188"/>
      <c r="T17" s="2188"/>
      <c r="U17" s="2188"/>
      <c r="V17" s="2188"/>
      <c r="W17" s="2187"/>
      <c r="X17" s="2187"/>
      <c r="Y17" s="2187"/>
      <c r="Z17" s="2187"/>
      <c r="AA17" s="2187"/>
      <c r="AB17" s="2187"/>
      <c r="AC17" s="2188"/>
      <c r="AH17" s="1397"/>
      <c r="AI17" s="1397"/>
      <c r="AJ17" s="1400"/>
      <c r="AK17" s="1400"/>
      <c r="AL17" s="1400"/>
      <c r="AM17" s="1400"/>
    </row>
    <row r="18" spans="1:40" s="1416" customFormat="1" ht="15.75" thickBot="1">
      <c r="A18" s="1636" t="s">
        <v>1823</v>
      </c>
      <c r="B18" s="2793" t="s">
        <v>949</v>
      </c>
      <c r="C18" s="2794">
        <f>SUMIF(修正!C18:C39,E3,修正!E18:E39)</f>
        <v>0</v>
      </c>
      <c r="D18" s="2795"/>
      <c r="E18" s="2796"/>
      <c r="F18" s="2797"/>
      <c r="G18" s="2791"/>
      <c r="H18" s="2791"/>
      <c r="I18" s="2791"/>
      <c r="J18" s="2798"/>
      <c r="K18" s="1476"/>
      <c r="L18" s="1476"/>
      <c r="M18" s="1476"/>
      <c r="N18" s="1476"/>
      <c r="O18" s="1592"/>
      <c r="P18" s="1592"/>
      <c r="Q18" s="2189"/>
      <c r="R18" s="2189"/>
      <c r="S18" s="2189"/>
      <c r="T18" s="2189"/>
      <c r="U18" s="2189"/>
      <c r="V18" s="2189"/>
      <c r="W18" s="2188"/>
      <c r="X18" s="2188"/>
      <c r="Y18" s="2188"/>
      <c r="Z18" s="2188"/>
      <c r="AA18" s="2187"/>
      <c r="AB18" s="2187"/>
      <c r="AC18" s="2190"/>
      <c r="AD18" s="1467"/>
      <c r="AE18" s="1467"/>
      <c r="AF18" s="1467"/>
      <c r="AG18" s="1467"/>
      <c r="AH18" s="1398"/>
      <c r="AI18" s="1398"/>
      <c r="AJ18" s="1399"/>
      <c r="AK18" s="1399"/>
      <c r="AL18" s="1399"/>
    </row>
    <row r="19" spans="1:40" s="1416" customFormat="1" ht="27.75" thickBot="1">
      <c r="A19" s="1635" t="s">
        <v>1829</v>
      </c>
      <c r="B19" s="1465" t="s">
        <v>950</v>
      </c>
      <c r="C19" s="1052" t="e">
        <f>ROUND(IF(H19="按公示增长率计算",SUMPRODUCT((地价!A3:A20=YEAR(G19)&amp;"-"&amp;ROUNDUP(MONTH(G19)/3,0))*(地价!X2:AB2=E2)*(地价!X3:AB20)),IF(H19="地价指数",M20/M19,(1+I19)^O19)),4)</f>
        <v>#DIV/0!</v>
      </c>
      <c r="D19" s="1469" t="s">
        <v>951</v>
      </c>
      <c r="E19" s="1053">
        <v>41640</v>
      </c>
      <c r="F19" s="1469" t="s">
        <v>952</v>
      </c>
      <c r="G19" s="1054">
        <f>'数据-取费表'!B2</f>
        <v>43035</v>
      </c>
      <c r="H19" s="1470" t="s">
        <v>2931</v>
      </c>
      <c r="I19" s="2805" t="str">
        <f>IF(H19="季度增幅（自定义）",SUMIF(N21:N24,E2,O21:O24),"")</f>
        <v/>
      </c>
      <c r="J19" s="1466"/>
      <c r="K19" s="1476"/>
      <c r="L19" s="3059" t="s">
        <v>2840</v>
      </c>
      <c r="M19" s="3060">
        <f>ROUND(SUMIF(地价!B2:F2,E2,地价!B20:F20),0)</f>
        <v>0</v>
      </c>
      <c r="N19" s="2807" t="s">
        <v>1670</v>
      </c>
      <c r="O19" s="2806">
        <f>ROUNDDOWN(DATEDIF(E19,G19,"M")/3,0)</f>
        <v>15</v>
      </c>
      <c r="P19" s="1591"/>
      <c r="R19" s="2946"/>
      <c r="S19" s="2946"/>
      <c r="T19" s="2946"/>
      <c r="U19" s="2946"/>
      <c r="V19" s="2946"/>
      <c r="W19" s="2190"/>
      <c r="X19" s="2190"/>
      <c r="Y19" s="2190"/>
      <c r="Z19" s="2190"/>
      <c r="AA19" s="2190"/>
      <c r="AB19" s="2190"/>
      <c r="AC19" s="2190"/>
      <c r="AD19" s="1398"/>
      <c r="AE19" s="1398"/>
      <c r="AF19" s="1398"/>
      <c r="AG19" s="1398"/>
      <c r="AH19" s="1467"/>
      <c r="AI19" s="1468"/>
      <c r="AJ19" s="1472"/>
      <c r="AK19" s="1399"/>
      <c r="AL19" s="1415"/>
      <c r="AM19" s="1415"/>
      <c r="AN19" s="1415"/>
    </row>
    <row r="20" spans="1:40" s="1416" customFormat="1" ht="27.75" thickBot="1">
      <c r="A20" s="2799" t="s">
        <v>1830</v>
      </c>
      <c r="B20" s="2800" t="s">
        <v>965</v>
      </c>
      <c r="C20" s="2801" t="e">
        <f>ROUND(POWER(1+G20,J20-I20)*(POWER(1+G20,I20)-1)/(POWER(1+G20,J20)-1),4)</f>
        <v>#DIV/0!</v>
      </c>
      <c r="D20" s="2802" t="s">
        <v>966</v>
      </c>
      <c r="E20" s="3112">
        <f ca="1">存贷款利率!I4/100</f>
        <v>4.3499999999999997E-2</v>
      </c>
      <c r="F20" s="2802" t="s">
        <v>967</v>
      </c>
      <c r="G20" s="2803">
        <f>SUMIF(M15:P15,E2,M17:P17)</f>
        <v>0</v>
      </c>
      <c r="H20" s="2802" t="s">
        <v>968</v>
      </c>
      <c r="I20" s="2792" t="e">
        <f>SUMIF('数据-取费表'!C6:C15,E2,'数据-取费表'!F6:F15)/COUNTIF('数据-取费表'!C6:C15,E2)</f>
        <v>#DIV/0!</v>
      </c>
      <c r="J20" s="2804">
        <f>IF(E2="住宅",70,IF(E2="商业",40,50))</f>
        <v>50</v>
      </c>
      <c r="K20" s="1476"/>
      <c r="L20" s="3061" t="s">
        <v>2841</v>
      </c>
      <c r="M20" s="3062">
        <f>ROUND(SUMPRODUCT((地价!A5:A20=YEAR(G19)&amp;"-"&amp;ROUNDUP(MONTH(G19)/3,0))*(地价!B2:F2=E2)*(地价!B5:F20)),0)</f>
        <v>0</v>
      </c>
      <c r="N20" s="2810" t="s">
        <v>2644</v>
      </c>
      <c r="O20" s="2808" t="s">
        <v>2643</v>
      </c>
      <c r="P20" s="2809" t="s">
        <v>2649</v>
      </c>
      <c r="R20" s="2946"/>
      <c r="S20" s="2946"/>
      <c r="T20" s="2946"/>
      <c r="U20" s="2946"/>
      <c r="V20" s="2946"/>
      <c r="W20" s="2190"/>
      <c r="X20" s="2190"/>
      <c r="Y20" s="2190"/>
      <c r="Z20" s="2190"/>
      <c r="AA20" s="2190"/>
      <c r="AB20" s="2190"/>
      <c r="AC20" s="2190"/>
      <c r="AD20" s="1467"/>
      <c r="AE20" s="1467"/>
      <c r="AF20" s="1467"/>
      <c r="AG20" s="1467"/>
      <c r="AH20" s="1467"/>
      <c r="AI20" s="1467"/>
    </row>
    <row r="21" spans="1:40" s="1416" customFormat="1" ht="14.25">
      <c r="A21" s="1637" t="s">
        <v>1831</v>
      </c>
      <c r="B21" s="1475" t="s">
        <v>2760</v>
      </c>
      <c r="C21" s="1153">
        <f>IF(B21="容积率修正",IF(G3&lt;=10,D22,J22),C23)</f>
        <v>0</v>
      </c>
      <c r="D21" s="1476"/>
      <c r="E21" s="1476"/>
      <c r="F21" s="1476"/>
      <c r="G21" s="1476"/>
      <c r="H21" s="1476"/>
      <c r="I21" s="1476"/>
      <c r="J21" s="1477"/>
      <c r="K21" s="1476"/>
      <c r="L21" s="1476"/>
      <c r="M21" s="1476"/>
      <c r="N21" s="1473" t="s">
        <v>969</v>
      </c>
      <c r="O21" s="1537"/>
      <c r="P21" s="2790">
        <f>SUMPRODUCT((地价!A3:A20=YEAR(G19)&amp;"-"&amp;ROUNDUP(MONTH(G19)/3,0))*(地价!AD2:AH2=N21)*(地价!AD3:AH20))</f>
        <v>1.6400000000000001E-2</v>
      </c>
      <c r="R21" s="2946"/>
      <c r="S21" s="2946"/>
      <c r="T21" s="2946"/>
      <c r="U21" s="2946"/>
      <c r="V21" s="2946"/>
      <c r="W21" s="2190"/>
      <c r="X21" s="2190"/>
      <c r="Y21" s="2190"/>
      <c r="Z21" s="2190"/>
      <c r="AA21" s="2190"/>
      <c r="AB21" s="2190"/>
      <c r="AC21" s="2190"/>
      <c r="AD21" s="1398"/>
      <c r="AE21" s="1398"/>
      <c r="AF21" s="1398"/>
      <c r="AG21" s="1398"/>
      <c r="AH21" s="1467"/>
      <c r="AI21" s="1467"/>
    </row>
    <row r="22" spans="1:40" s="1416" customFormat="1" ht="14.25">
      <c r="A22" s="1638" t="s">
        <v>1864</v>
      </c>
      <c r="B22" s="1478" t="s">
        <v>970</v>
      </c>
      <c r="C22" s="1055" t="s">
        <v>1696</v>
      </c>
      <c r="D22" s="1055">
        <f>IF(E22=G22,F22,IF(G3&lt;=10,ROUND(F22+(H22-F22)*(G3-E22)/(G22-E22),4),"——"))</f>
        <v>0</v>
      </c>
      <c r="E22" s="1034">
        <f>ROUNDDOWN(G3,1)</f>
        <v>2.2999999999999998</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4">
        <f>ROUNDUP(G3,1)</f>
        <v>2.4</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971</v>
      </c>
      <c r="J22" s="1055" t="str">
        <f>IF(G3&gt;10,D113,"——")</f>
        <v>——</v>
      </c>
      <c r="K22" s="1476"/>
      <c r="L22" s="1476"/>
      <c r="M22" s="1476"/>
      <c r="N22" s="1473" t="s">
        <v>972</v>
      </c>
      <c r="O22" s="1537"/>
      <c r="P22" s="2790">
        <f>SUMPRODUCT((地价!A3:A20=YEAR(G19)&amp;"-"&amp;ROUNDUP(MONTH(G19)/3,0))*(地价!AD2:AH2=N22)*(地价!AD3:AH20))</f>
        <v>1.6400000000000001E-2</v>
      </c>
      <c r="R22" s="2946"/>
      <c r="S22" s="2946"/>
      <c r="T22" s="2946"/>
      <c r="U22" s="2946"/>
      <c r="V22" s="2946"/>
      <c r="W22" s="2190"/>
      <c r="X22" s="2190"/>
      <c r="Y22" s="2190"/>
      <c r="Z22" s="2190"/>
      <c r="AA22" s="2190"/>
      <c r="AB22" s="2190"/>
      <c r="AC22" s="2190"/>
      <c r="AD22" s="1467"/>
      <c r="AE22" s="1467"/>
      <c r="AF22" s="1467"/>
      <c r="AG22" s="1467"/>
      <c r="AH22" s="1467"/>
      <c r="AI22" s="1467"/>
    </row>
    <row r="23" spans="1:40" ht="27.75" thickBot="1">
      <c r="A23" s="1638" t="s">
        <v>1865</v>
      </c>
      <c r="B23" s="1478" t="s">
        <v>973</v>
      </c>
      <c r="C23" s="1056">
        <f>ROUND(IF(G3&gt;1,IF(I3&lt;7,SUMPRODUCT((B93:B98=I3)*(C92:N92=G2)*(C93:N98)),SUMIF(C92:N92,G2,C100:N100)),IF(I3&lt;7,SUMPRODUCT((B102:B107=I3)*(C92:N92=G2)*(C102:N107)),SUMIF(C92:N92,G2,C109:N109))),4)</f>
        <v>0</v>
      </c>
      <c r="D23" s="1525"/>
      <c r="E23" s="1525"/>
      <c r="F23" s="1526"/>
      <c r="G23" s="1527"/>
      <c r="H23" s="1528"/>
      <c r="I23" s="1529"/>
      <c r="J23" s="1529"/>
      <c r="K23" s="1396"/>
      <c r="L23" s="1396"/>
      <c r="M23" s="1396"/>
      <c r="N23" s="1473" t="s">
        <v>916</v>
      </c>
      <c r="O23" s="1537"/>
      <c r="P23" s="2790">
        <f>SUMPRODUCT((地价!A3:A20=YEAR(G19)&amp;"-"&amp;ROUNDUP(MONTH(G19)/3,0))*(地价!AD2:AH2=N23)*(地价!AD3:AH20))</f>
        <v>2.7799999999999998E-2</v>
      </c>
      <c r="R23" s="2946"/>
      <c r="S23" s="2946"/>
      <c r="T23" s="2946"/>
      <c r="U23" s="2946"/>
      <c r="V23" s="2946"/>
      <c r="W23" s="2190"/>
      <c r="X23" s="2190"/>
      <c r="Y23" s="2190"/>
      <c r="Z23" s="2190"/>
      <c r="AA23" s="2190"/>
      <c r="AB23" s="2190"/>
      <c r="AC23" s="2190"/>
      <c r="AN23" s="1399"/>
    </row>
    <row r="24" spans="1:40" s="1416" customFormat="1" ht="15.75" thickBot="1">
      <c r="A24" s="1636" t="s">
        <v>1866</v>
      </c>
      <c r="B24" s="1410" t="s">
        <v>974</v>
      </c>
      <c r="C24" s="1057">
        <f>SUMIF(A44:A87,E2,B44:B87)</f>
        <v>0</v>
      </c>
      <c r="D24" s="1530"/>
      <c r="E24" s="1531"/>
      <c r="F24" s="1531"/>
      <c r="G24" s="1531"/>
      <c r="H24" s="1531"/>
      <c r="I24" s="1531"/>
      <c r="J24" s="1531"/>
      <c r="K24" s="1476"/>
      <c r="L24" s="1476"/>
      <c r="M24" s="1476"/>
      <c r="N24" s="1479" t="s">
        <v>975</v>
      </c>
      <c r="O24" s="1538"/>
      <c r="P24" s="1536">
        <f>SUMPRODUCT((地价!A3:A20=YEAR(G19)&amp;"-"&amp;ROUNDUP(MONTH(G19)/3,0))*(地价!AD2:AH2=N24)*(地价!AD3:AH20))</f>
        <v>1.3899999999999999E-2</v>
      </c>
      <c r="R24" s="2946"/>
      <c r="S24" s="2946"/>
      <c r="T24" s="2946"/>
      <c r="U24" s="2946"/>
      <c r="V24" s="2946"/>
      <c r="W24" s="2190"/>
      <c r="X24" s="2190"/>
      <c r="Y24" s="2190"/>
      <c r="Z24" s="2190"/>
      <c r="AA24" s="2190"/>
      <c r="AB24" s="2190"/>
      <c r="AC24" s="2190"/>
      <c r="AD24" s="1467"/>
      <c r="AE24" s="1467"/>
      <c r="AF24" s="1467"/>
      <c r="AG24" s="1467"/>
      <c r="AH24" s="1467"/>
      <c r="AI24" s="1467"/>
    </row>
    <row r="25" spans="1:40" ht="15" thickBot="1">
      <c r="A25" s="1636" t="s">
        <v>1867</v>
      </c>
      <c r="B25" s="1481" t="s">
        <v>976</v>
      </c>
      <c r="C25" s="1482"/>
      <c r="D25" s="1425"/>
      <c r="E25" s="1425"/>
      <c r="F25" s="1483"/>
      <c r="G25" s="1425"/>
      <c r="H25" s="1425"/>
      <c r="I25" s="1425"/>
      <c r="J25" s="1426"/>
      <c r="K25" s="1396"/>
      <c r="L25" s="2190"/>
      <c r="M25" s="2190"/>
      <c r="N25" s="2818" t="s">
        <v>2647</v>
      </c>
      <c r="O25" s="2190"/>
      <c r="P25" s="1536">
        <f>SUMPRODUCT((地价!A3:A20=YEAR(G19)&amp;"-"&amp;ROUNDUP(MONTH(G19)/3,0))*(地价!AD2:AH2=N25)*(地价!AD3:AH20))</f>
        <v>2.4899999999999999E-2</v>
      </c>
      <c r="R25" s="2946"/>
      <c r="S25" s="2946"/>
      <c r="T25" s="2946"/>
      <c r="U25" s="2946"/>
      <c r="V25" s="2946"/>
      <c r="W25" s="2190"/>
      <c r="X25" s="2190"/>
      <c r="Y25" s="2190"/>
      <c r="Z25" s="2190"/>
      <c r="AA25" s="2190"/>
      <c r="AB25" s="2190"/>
      <c r="AC25" s="2190"/>
    </row>
    <row r="26" spans="1:40" ht="14.25">
      <c r="A26" s="1484"/>
      <c r="B26" s="1478" t="s">
        <v>980</v>
      </c>
      <c r="C26" s="1058" t="e">
        <f>E29+SUM(E33:E39)</f>
        <v>#DIV/0!</v>
      </c>
      <c r="D26" s="1485"/>
      <c r="E26" s="1451"/>
      <c r="F26" s="1486"/>
      <c r="G26" s="1451"/>
      <c r="H26" s="1451"/>
      <c r="I26" s="1451"/>
      <c r="J26" s="1487"/>
      <c r="K26" s="1396"/>
      <c r="L26" s="2190"/>
      <c r="M26" s="2190"/>
      <c r="N26" s="2190"/>
      <c r="O26" s="2190"/>
      <c r="P26" s="2190"/>
      <c r="Q26" s="2190"/>
      <c r="R26" s="2946"/>
      <c r="S26" s="2946"/>
      <c r="T26" s="2946"/>
      <c r="U26" s="2946"/>
      <c r="V26" s="2946"/>
      <c r="W26" s="2190"/>
      <c r="X26" s="2190"/>
      <c r="Y26" s="2190"/>
      <c r="Z26" s="2190"/>
      <c r="AA26" s="2190"/>
      <c r="AB26" s="2190"/>
      <c r="AC26" s="2190"/>
      <c r="AD26" s="1467"/>
      <c r="AE26" s="1467"/>
      <c r="AF26" s="1467"/>
      <c r="AG26" s="1467"/>
    </row>
    <row r="27" spans="1:40" ht="15" thickBot="1">
      <c r="A27" s="1484"/>
      <c r="B27" s="1488" t="s">
        <v>982</v>
      </c>
      <c r="C27" s="1059" t="e">
        <f>E30+SUM(I33:I39)</f>
        <v>#DIV/0!</v>
      </c>
      <c r="D27" s="1489"/>
      <c r="E27" s="1490"/>
      <c r="F27" s="1491"/>
      <c r="G27" s="1490"/>
      <c r="H27" s="1490"/>
      <c r="I27" s="1490"/>
      <c r="J27" s="1492"/>
      <c r="K27" s="1396"/>
      <c r="L27" s="2190"/>
      <c r="M27" s="2190"/>
      <c r="N27" s="2190"/>
      <c r="O27" s="2190"/>
      <c r="P27" s="2190"/>
      <c r="Q27" s="2190"/>
      <c r="R27" s="2946"/>
      <c r="S27" s="2946"/>
      <c r="T27" s="2946"/>
      <c r="U27" s="2946"/>
      <c r="V27" s="2946"/>
      <c r="W27" s="2190"/>
      <c r="X27" s="2190"/>
      <c r="Y27" s="2190"/>
      <c r="Z27" s="2190"/>
      <c r="AA27" s="2190"/>
      <c r="AB27" s="2190"/>
      <c r="AC27" s="2190"/>
    </row>
    <row r="28" spans="1:40" ht="14.25">
      <c r="A28" s="1480"/>
      <c r="B28" s="1493" t="s">
        <v>983</v>
      </c>
      <c r="C28" s="1494" t="s">
        <v>984</v>
      </c>
      <c r="D28" s="1494" t="s">
        <v>985</v>
      </c>
      <c r="E28" s="1495" t="s">
        <v>986</v>
      </c>
      <c r="F28" s="1496"/>
      <c r="G28" s="1437"/>
      <c r="H28" s="1437"/>
      <c r="I28" s="1437"/>
      <c r="J28" s="1438"/>
      <c r="K28" s="1396"/>
      <c r="L28" s="2190"/>
      <c r="M28" s="2190"/>
      <c r="N28" s="2190"/>
      <c r="O28" s="2190"/>
      <c r="P28" s="2190"/>
      <c r="Q28" s="2190"/>
      <c r="R28" s="2946"/>
      <c r="S28" s="2946"/>
      <c r="T28" s="2946"/>
      <c r="U28" s="2946"/>
      <c r="V28" s="2946"/>
      <c r="W28" s="2190"/>
      <c r="X28" s="2190"/>
      <c r="Y28" s="2190"/>
      <c r="Z28" s="2190"/>
      <c r="AA28" s="2190"/>
      <c r="AB28" s="2190"/>
      <c r="AC28" s="2190"/>
      <c r="AD28" s="1467"/>
      <c r="AE28" s="1467"/>
      <c r="AF28" s="1467"/>
      <c r="AG28" s="1467"/>
    </row>
    <row r="29" spans="1:40" ht="24">
      <c r="A29" s="1497"/>
      <c r="B29" s="1498" t="s">
        <v>987</v>
      </c>
      <c r="C29" s="1058" t="e">
        <f>ROUND(C5*C18*C19*C20*C21*C24,0)</f>
        <v>#DIV/0!</v>
      </c>
      <c r="D29" s="1499"/>
      <c r="E29" s="1844" t="e">
        <f>ROUND(C29*D29/10000,0)</f>
        <v>#DIV/0!</v>
      </c>
      <c r="F29" s="1500" t="s">
        <v>1695</v>
      </c>
      <c r="G29" s="1501"/>
      <c r="H29" s="1501"/>
      <c r="I29" s="1501"/>
      <c r="J29" s="1502"/>
      <c r="K29" s="1396"/>
      <c r="L29" s="2190"/>
      <c r="M29" s="2190"/>
      <c r="N29" s="2190"/>
      <c r="O29" s="2190"/>
      <c r="P29" s="2190"/>
      <c r="Q29" s="2190"/>
      <c r="R29" s="2946"/>
      <c r="S29" s="2946"/>
      <c r="T29" s="2946"/>
      <c r="U29" s="2946"/>
      <c r="V29" s="2946"/>
      <c r="W29" s="2190"/>
      <c r="X29" s="2190"/>
      <c r="Y29" s="2190"/>
      <c r="Z29" s="2190"/>
      <c r="AA29" s="2190"/>
      <c r="AB29" s="2190"/>
      <c r="AC29" s="2190"/>
      <c r="AH29" s="1397"/>
      <c r="AI29" s="1397"/>
      <c r="AJ29" s="1400"/>
      <c r="AK29" s="1400"/>
      <c r="AL29" s="1400"/>
      <c r="AM29" s="1400"/>
    </row>
    <row r="30" spans="1:40" ht="24.75" thickBot="1">
      <c r="A30" s="1503"/>
      <c r="B30" s="1504" t="s">
        <v>988</v>
      </c>
      <c r="C30" s="1046" t="e">
        <f>ROUND(IF(E2="工业",C29*M39,C29*M38),0)</f>
        <v>#DIV/0!</v>
      </c>
      <c r="D30" s="1505"/>
      <c r="E30" s="1844" t="e">
        <f>ROUND(C30*D30/10000,0)</f>
        <v>#DIV/0!</v>
      </c>
      <c r="F30" s="1506" t="s">
        <v>989</v>
      </c>
      <c r="G30" s="1507"/>
      <c r="H30" s="1507"/>
      <c r="I30" s="1507"/>
      <c r="J30" s="1508"/>
      <c r="K30" s="1396"/>
      <c r="L30" s="2184"/>
      <c r="M30" s="2184"/>
      <c r="N30" s="2184"/>
      <c r="O30" s="2184"/>
      <c r="P30" s="2184"/>
      <c r="Q30" s="2184"/>
      <c r="R30" s="2185"/>
      <c r="S30" s="2185"/>
      <c r="T30" s="2185"/>
      <c r="U30" s="2185"/>
      <c r="V30" s="2185"/>
      <c r="W30" s="2184"/>
      <c r="X30" s="2184"/>
      <c r="Y30" s="2184"/>
      <c r="Z30" s="2184"/>
      <c r="AA30" s="2184"/>
      <c r="AB30" s="2184"/>
      <c r="AC30" s="2184"/>
      <c r="AD30" s="1467"/>
      <c r="AE30" s="1467"/>
      <c r="AF30" s="1467"/>
      <c r="AG30" s="1467"/>
      <c r="AH30" s="1397"/>
      <c r="AI30" s="1397"/>
      <c r="AJ30" s="1400"/>
      <c r="AK30" s="1400"/>
      <c r="AL30" s="1400"/>
      <c r="AM30" s="1400"/>
    </row>
    <row r="31" spans="1:40">
      <c r="A31" s="1509"/>
      <c r="B31" s="1510" t="s">
        <v>990</v>
      </c>
      <c r="C31" s="1511" t="s">
        <v>991</v>
      </c>
      <c r="D31" s="1437"/>
      <c r="E31" s="1511"/>
      <c r="F31" s="1511"/>
      <c r="G31" s="1435" t="s">
        <v>989</v>
      </c>
      <c r="H31" s="1437"/>
      <c r="I31" s="1512"/>
      <c r="J31" s="1438"/>
      <c r="K31" s="1396"/>
      <c r="L31" s="2184"/>
      <c r="M31" s="2184"/>
      <c r="N31" s="2184"/>
      <c r="O31" s="2184"/>
      <c r="P31" s="2184"/>
      <c r="Q31" s="2184"/>
      <c r="R31" s="2185"/>
      <c r="S31" s="2185"/>
      <c r="T31" s="2185"/>
      <c r="U31" s="2185"/>
      <c r="V31" s="2185"/>
      <c r="W31" s="2184"/>
      <c r="X31" s="2184"/>
      <c r="Y31" s="2184"/>
      <c r="Z31" s="2184"/>
      <c r="AA31" s="2184"/>
      <c r="AB31" s="2184"/>
      <c r="AC31" s="2184"/>
      <c r="AH31" s="1397"/>
      <c r="AI31" s="1397"/>
      <c r="AJ31" s="1400"/>
      <c r="AK31" s="1400"/>
      <c r="AL31" s="1400"/>
      <c r="AM31" s="1400"/>
    </row>
    <row r="32" spans="1:40" ht="24">
      <c r="A32" s="1497"/>
      <c r="B32" s="1513"/>
      <c r="C32" s="1514" t="s">
        <v>984</v>
      </c>
      <c r="D32" s="1515" t="s">
        <v>985</v>
      </c>
      <c r="E32" s="1515" t="s">
        <v>986</v>
      </c>
      <c r="F32" s="1516" t="s">
        <v>992</v>
      </c>
      <c r="G32" s="1474" t="s">
        <v>984</v>
      </c>
      <c r="H32" s="1474" t="s">
        <v>985</v>
      </c>
      <c r="I32" s="1474" t="s">
        <v>986</v>
      </c>
      <c r="J32" s="1517"/>
      <c r="K32" s="1396"/>
      <c r="L32" s="2184"/>
      <c r="M32" s="2184"/>
      <c r="N32" s="2184"/>
      <c r="O32" s="2184"/>
      <c r="P32" s="2184"/>
      <c r="Q32" s="2184"/>
      <c r="R32" s="2185"/>
      <c r="S32" s="2185"/>
      <c r="T32" s="2185"/>
      <c r="U32" s="2185"/>
      <c r="V32" s="2185"/>
      <c r="W32" s="2184"/>
      <c r="X32" s="2184"/>
      <c r="Y32" s="2184"/>
      <c r="Z32" s="2184"/>
      <c r="AA32" s="2184"/>
      <c r="AB32" s="2184"/>
      <c r="AC32" s="2184"/>
      <c r="AD32" s="1397"/>
      <c r="AE32" s="1397"/>
      <c r="AF32" s="1397"/>
      <c r="AG32" s="1397"/>
      <c r="AH32" s="1397"/>
      <c r="AI32" s="1397"/>
      <c r="AJ32" s="1400"/>
      <c r="AK32" s="1400"/>
      <c r="AL32" s="1400"/>
      <c r="AM32" s="1400"/>
    </row>
    <row r="33" spans="1:40" ht="12.75">
      <c r="A33" s="3506" t="s">
        <v>2958</v>
      </c>
      <c r="B33" s="1519" t="s">
        <v>993</v>
      </c>
      <c r="C33" s="1058" t="e">
        <f>ROUND(D5*C19*C20*C24*F33,0)</f>
        <v>#DIV/0!</v>
      </c>
      <c r="D33" s="1532"/>
      <c r="E33" s="1043" t="e">
        <f>ROUND(C33*D33/10000,0)</f>
        <v>#DIV/0!</v>
      </c>
      <c r="F33" s="1043">
        <f>SUMIF(修正!A45:A56,G2,修正!B45:B56)</f>
        <v>0</v>
      </c>
      <c r="G33" s="1043" t="e">
        <f t="shared" ref="G33:G39" si="6">ROUND(IF(E2="工业",C33*$M$39,C33*$M$38),0)</f>
        <v>#DIV/0!</v>
      </c>
      <c r="H33" s="1043">
        <f>D33</f>
        <v>0</v>
      </c>
      <c r="I33" s="1043" t="e">
        <f>ROUND(G33*H33/10000,0)</f>
        <v>#DIV/0!</v>
      </c>
      <c r="J33" s="1520"/>
      <c r="K33" s="1396"/>
      <c r="L33" s="2184"/>
      <c r="M33" s="2184"/>
      <c r="N33" s="2184"/>
      <c r="O33" s="2184"/>
      <c r="P33" s="2184"/>
      <c r="Q33" s="2184"/>
      <c r="R33" s="2185"/>
      <c r="S33" s="2185"/>
      <c r="T33" s="2185"/>
      <c r="U33" s="2185"/>
      <c r="V33" s="2185"/>
      <c r="W33" s="2184"/>
      <c r="X33" s="2184"/>
      <c r="Y33" s="2184"/>
      <c r="Z33" s="2184"/>
      <c r="AA33" s="2184"/>
      <c r="AB33" s="2184"/>
      <c r="AC33" s="2185"/>
    </row>
    <row r="34" spans="1:40" ht="12.75">
      <c r="A34" s="3507"/>
      <c r="B34" s="1440" t="s">
        <v>994</v>
      </c>
      <c r="C34" s="1058" t="e">
        <f>ROUND(D5*C19*C20*C24*F34,0)</f>
        <v>#DIV/0!</v>
      </c>
      <c r="D34" s="1532"/>
      <c r="E34" s="1043" t="e">
        <f t="shared" ref="E34:E39" si="7">ROUND(C34*D34/10000,0)</f>
        <v>#DIV/0!</v>
      </c>
      <c r="F34" s="1043">
        <f>SUMIF(修正!A45:A56,G2,修正!C45:C56)</f>
        <v>0</v>
      </c>
      <c r="G34" s="1043" t="e">
        <f t="shared" si="6"/>
        <v>#DIV/0!</v>
      </c>
      <c r="H34" s="1043">
        <f t="shared" ref="H34:H39" si="8">D34</f>
        <v>0</v>
      </c>
      <c r="I34" s="1043" t="e">
        <f t="shared" ref="I34:I39" si="9">ROUND(G34*H34/10000,0)</f>
        <v>#DIV/0!</v>
      </c>
      <c r="J34" s="1520"/>
      <c r="K34" s="1396"/>
      <c r="L34" s="2184"/>
      <c r="M34" s="2184"/>
      <c r="N34" s="2184"/>
      <c r="O34" s="2184"/>
      <c r="P34" s="2184"/>
      <c r="Q34" s="2184"/>
      <c r="R34" s="2185"/>
      <c r="S34" s="2185"/>
      <c r="T34" s="2185"/>
      <c r="U34" s="2185"/>
      <c r="V34" s="2185"/>
      <c r="W34" s="2184"/>
      <c r="X34" s="2184"/>
      <c r="Y34" s="2184"/>
      <c r="Z34" s="2184"/>
      <c r="AA34" s="2184"/>
      <c r="AB34" s="2184"/>
      <c r="AC34" s="2185"/>
    </row>
    <row r="35" spans="1:40" ht="12.75">
      <c r="A35" s="3507"/>
      <c r="B35" s="1440" t="s">
        <v>995</v>
      </c>
      <c r="C35" s="1058" t="e">
        <f>ROUND(D5*C19*C20*C24*F35,0)</f>
        <v>#DIV/0!</v>
      </c>
      <c r="D35" s="1532"/>
      <c r="E35" s="1043" t="e">
        <f t="shared" si="7"/>
        <v>#DIV/0!</v>
      </c>
      <c r="F35" s="1043">
        <f>SUMIF(修正!A45:A56,G2,修正!D45:D56)</f>
        <v>0</v>
      </c>
      <c r="G35" s="1043" t="e">
        <f t="shared" si="6"/>
        <v>#DIV/0!</v>
      </c>
      <c r="H35" s="1043">
        <f t="shared" si="8"/>
        <v>0</v>
      </c>
      <c r="I35" s="1043" t="e">
        <f t="shared" si="9"/>
        <v>#DIV/0!</v>
      </c>
      <c r="J35" s="1520"/>
      <c r="K35" s="1396"/>
      <c r="L35" s="2184"/>
      <c r="M35" s="2184"/>
      <c r="N35" s="2184"/>
      <c r="O35" s="2184"/>
      <c r="P35" s="2184"/>
      <c r="Q35" s="2184"/>
      <c r="R35" s="2185"/>
      <c r="S35" s="2185"/>
      <c r="T35" s="2185"/>
      <c r="U35" s="2185"/>
      <c r="V35" s="2185"/>
      <c r="W35" s="2184"/>
      <c r="X35" s="2184"/>
      <c r="Y35" s="2184"/>
      <c r="Z35" s="2184"/>
      <c r="AA35" s="2184"/>
      <c r="AB35" s="2184"/>
      <c r="AC35" s="2185"/>
    </row>
    <row r="36" spans="1:40" ht="13.5" thickBot="1">
      <c r="A36" s="3508"/>
      <c r="B36" s="1440" t="s">
        <v>996</v>
      </c>
      <c r="C36" s="1058" t="e">
        <f>ROUND(D5*C19*C20*C24*F36,0)</f>
        <v>#DIV/0!</v>
      </c>
      <c r="D36" s="1532"/>
      <c r="E36" s="1043" t="e">
        <f t="shared" si="7"/>
        <v>#DIV/0!</v>
      </c>
      <c r="F36" s="1043">
        <f>SUMIF(修正!A45:A56,G2,修正!E45:E56)</f>
        <v>0</v>
      </c>
      <c r="G36" s="1043" t="e">
        <f t="shared" si="6"/>
        <v>#DIV/0!</v>
      </c>
      <c r="H36" s="1043">
        <f t="shared" si="8"/>
        <v>0</v>
      </c>
      <c r="I36" s="1043" t="e">
        <f t="shared" si="9"/>
        <v>#DIV/0!</v>
      </c>
      <c r="J36" s="1520"/>
      <c r="K36" s="1396"/>
      <c r="L36" s="2184"/>
      <c r="M36" s="2184"/>
      <c r="N36" s="2184"/>
      <c r="O36" s="2184"/>
      <c r="P36" s="2184"/>
      <c r="Q36" s="2184"/>
      <c r="R36" s="2185"/>
      <c r="S36" s="2185"/>
      <c r="T36" s="2185"/>
      <c r="U36" s="2185"/>
      <c r="V36" s="2185"/>
      <c r="W36" s="2184"/>
      <c r="X36" s="2184"/>
      <c r="Y36" s="2184"/>
      <c r="Z36" s="2184"/>
      <c r="AA36" s="2184"/>
      <c r="AB36" s="2184"/>
      <c r="AC36" s="2185"/>
    </row>
    <row r="37" spans="1:40" ht="12.75">
      <c r="A37" s="1518"/>
      <c r="B37" s="1440" t="s">
        <v>997</v>
      </c>
      <c r="C37" s="1043" t="e">
        <f>ROUND(C5*C19*C20*C24*F37,0)</f>
        <v>#DIV/0!</v>
      </c>
      <c r="D37" s="1532"/>
      <c r="E37" s="1043" t="e">
        <f t="shared" si="7"/>
        <v>#DIV/0!</v>
      </c>
      <c r="F37" s="1058">
        <f>SUMIF(修正!A45:A56,G2,修正!F45:F56)</f>
        <v>0</v>
      </c>
      <c r="G37" s="1043" t="e">
        <f t="shared" si="6"/>
        <v>#DIV/0!</v>
      </c>
      <c r="H37" s="1043">
        <f t="shared" si="8"/>
        <v>0</v>
      </c>
      <c r="I37" s="1043" t="e">
        <f t="shared" si="9"/>
        <v>#DIV/0!</v>
      </c>
      <c r="J37" s="1520"/>
      <c r="K37" s="1396"/>
      <c r="L37" s="1539" t="s">
        <v>1697</v>
      </c>
      <c r="M37" s="1540"/>
      <c r="N37" s="2184"/>
      <c r="O37" s="2184"/>
      <c r="P37" s="2184"/>
      <c r="Q37" s="2184"/>
      <c r="R37" s="2185"/>
      <c r="S37" s="2185"/>
      <c r="T37" s="2185"/>
      <c r="U37" s="2185"/>
      <c r="V37" s="2185"/>
      <c r="W37" s="2184"/>
      <c r="X37" s="2184"/>
      <c r="Y37" s="2184"/>
      <c r="Z37" s="2184"/>
      <c r="AA37" s="2184"/>
      <c r="AB37" s="2184"/>
      <c r="AC37" s="2185"/>
    </row>
    <row r="38" spans="1:40" ht="12.75">
      <c r="A38" s="1518"/>
      <c r="B38" s="1440" t="s">
        <v>998</v>
      </c>
      <c r="C38" s="1043" t="e">
        <f>ROUND(C5*C19*C20*C24*F38,0)</f>
        <v>#DIV/0!</v>
      </c>
      <c r="D38" s="1532"/>
      <c r="E38" s="1043" t="e">
        <f t="shared" si="7"/>
        <v>#DIV/0!</v>
      </c>
      <c r="F38" s="1058">
        <f>SUMIF(修正!A45:A56,G2,修正!G45:G56)</f>
        <v>0</v>
      </c>
      <c r="G38" s="1043" t="e">
        <f t="shared" si="6"/>
        <v>#DIV/0!</v>
      </c>
      <c r="H38" s="1043">
        <f t="shared" si="8"/>
        <v>0</v>
      </c>
      <c r="I38" s="1043" t="e">
        <f t="shared" si="9"/>
        <v>#DIV/0!</v>
      </c>
      <c r="J38" s="1520"/>
      <c r="K38" s="1396"/>
      <c r="L38" s="1541" t="s">
        <v>1699</v>
      </c>
      <c r="M38" s="1542">
        <v>0.25</v>
      </c>
      <c r="N38" s="2184"/>
      <c r="O38" s="2184"/>
      <c r="P38" s="2184"/>
      <c r="Q38" s="2184"/>
      <c r="R38" s="2185"/>
      <c r="S38" s="2185"/>
      <c r="T38" s="2185"/>
      <c r="U38" s="2185"/>
      <c r="V38" s="2185"/>
      <c r="W38" s="2184"/>
      <c r="X38" s="2184"/>
      <c r="Y38" s="2184"/>
      <c r="Z38" s="2184"/>
      <c r="AA38" s="2184"/>
      <c r="AB38" s="2184"/>
      <c r="AC38" s="2185"/>
    </row>
    <row r="39" spans="1:40" ht="13.5" thickBot="1">
      <c r="A39" s="1503"/>
      <c r="B39" s="1521" t="s">
        <v>999</v>
      </c>
      <c r="C39" s="1046" t="e">
        <f>ROUND(C5*C19*C20*C24*F39,0)</f>
        <v>#DIV/0!</v>
      </c>
      <c r="D39" s="1533"/>
      <c r="E39" s="1046" t="e">
        <f t="shared" si="7"/>
        <v>#DIV/0!</v>
      </c>
      <c r="F39" s="1060">
        <f>SUMIF(修正!A45:A56,G2,修正!H45:H56)</f>
        <v>0</v>
      </c>
      <c r="G39" s="1046" t="e">
        <f t="shared" si="6"/>
        <v>#DIV/0!</v>
      </c>
      <c r="H39" s="1046">
        <f t="shared" si="8"/>
        <v>0</v>
      </c>
      <c r="I39" s="1046" t="e">
        <f t="shared" si="9"/>
        <v>#DIV/0!</v>
      </c>
      <c r="J39" s="1522"/>
      <c r="K39" s="1396"/>
      <c r="L39" s="1543" t="s">
        <v>1698</v>
      </c>
      <c r="M39" s="1544">
        <v>0.15</v>
      </c>
      <c r="N39" s="2184"/>
      <c r="O39" s="2184"/>
      <c r="P39" s="2184"/>
      <c r="Q39" s="2184"/>
      <c r="R39" s="2185"/>
      <c r="S39" s="2185"/>
      <c r="T39" s="2185"/>
      <c r="U39" s="2185"/>
      <c r="V39" s="2185"/>
      <c r="W39" s="2184"/>
      <c r="X39" s="2184"/>
      <c r="Y39" s="2184"/>
      <c r="Z39" s="2184"/>
      <c r="AA39" s="2184"/>
      <c r="AB39" s="2184"/>
      <c r="AC39" s="2185"/>
    </row>
    <row r="40" spans="1:40" s="1397" customFormat="1">
      <c r="B40" s="2191"/>
      <c r="C40" s="2191"/>
      <c r="D40" s="2191"/>
      <c r="E40" s="2191"/>
      <c r="F40" s="2191"/>
      <c r="G40" s="2191"/>
      <c r="H40" s="2191"/>
      <c r="I40" s="2191"/>
      <c r="J40" s="2191"/>
      <c r="K40" s="2191"/>
      <c r="L40" s="2191"/>
      <c r="M40" s="2191"/>
      <c r="N40" s="2191"/>
      <c r="O40" s="2191"/>
      <c r="P40" s="2191"/>
      <c r="Q40" s="2191"/>
      <c r="R40" s="2192"/>
      <c r="S40" s="2192"/>
      <c r="T40" s="2192"/>
      <c r="U40" s="2192"/>
      <c r="V40" s="2192"/>
      <c r="W40" s="2191"/>
      <c r="X40" s="2191"/>
      <c r="Y40" s="2191"/>
      <c r="Z40" s="2191"/>
      <c r="AA40" s="2191"/>
      <c r="AB40" s="2191"/>
      <c r="AC40" s="2192"/>
      <c r="AD40" s="1398"/>
      <c r="AE40" s="1398"/>
      <c r="AF40" s="1398"/>
      <c r="AG40" s="1398"/>
      <c r="AH40" s="1398"/>
      <c r="AI40" s="1398"/>
      <c r="AJ40" s="1398"/>
      <c r="AK40" s="1398"/>
      <c r="AL40" s="1398"/>
      <c r="AM40" s="1398"/>
    </row>
    <row r="41" spans="1:40" s="1397" customFormat="1">
      <c r="A41" s="1398"/>
      <c r="B41" s="2193"/>
      <c r="C41" s="2191"/>
      <c r="D41" s="2191"/>
      <c r="E41" s="2191"/>
      <c r="F41" s="2191"/>
      <c r="G41" s="2191"/>
      <c r="H41" s="2191"/>
      <c r="I41" s="2191"/>
      <c r="J41" s="2191"/>
      <c r="K41" s="2191"/>
      <c r="L41" s="2191"/>
      <c r="M41" s="2191"/>
      <c r="N41" s="2191"/>
      <c r="O41" s="2191"/>
      <c r="P41" s="2191"/>
      <c r="Q41" s="2191"/>
      <c r="R41" s="2192"/>
      <c r="S41" s="2192"/>
      <c r="T41" s="2192"/>
      <c r="U41" s="2192"/>
      <c r="V41" s="2192"/>
      <c r="W41" s="2191"/>
      <c r="X41" s="2191"/>
      <c r="Y41" s="2191"/>
      <c r="Z41" s="2191"/>
      <c r="AA41" s="2191"/>
      <c r="AB41" s="2191"/>
      <c r="AC41" s="2192"/>
      <c r="AD41" s="1398"/>
      <c r="AE41" s="1398"/>
      <c r="AF41" s="1398"/>
      <c r="AG41" s="1398"/>
      <c r="AH41" s="1398"/>
      <c r="AI41" s="1398"/>
      <c r="AJ41" s="1398"/>
      <c r="AK41" s="1398"/>
      <c r="AL41" s="1398"/>
      <c r="AM41" s="1398"/>
    </row>
    <row r="42" spans="1:40" s="1397" customFormat="1">
      <c r="A42" s="1398"/>
      <c r="B42" s="2193"/>
      <c r="C42" s="2191"/>
      <c r="D42" s="2191"/>
      <c r="E42" s="2191"/>
      <c r="F42" s="2191"/>
      <c r="G42" s="2191"/>
      <c r="H42" s="2191"/>
      <c r="I42" s="2191"/>
      <c r="J42" s="2191"/>
      <c r="K42" s="2191"/>
      <c r="L42" s="2191"/>
      <c r="M42" s="2191"/>
      <c r="N42" s="2191"/>
      <c r="O42" s="2191"/>
      <c r="P42" s="2191"/>
      <c r="Q42" s="2191"/>
      <c r="R42" s="2192"/>
      <c r="S42" s="2192"/>
      <c r="T42" s="2192"/>
      <c r="U42" s="2192"/>
      <c r="V42" s="2192"/>
      <c r="W42" s="2191"/>
      <c r="X42" s="2191"/>
      <c r="Y42" s="2191"/>
      <c r="Z42" s="2191"/>
      <c r="AA42" s="2191"/>
      <c r="AB42" s="2191"/>
      <c r="AC42" s="2192"/>
      <c r="AD42" s="1398"/>
      <c r="AE42" s="1398"/>
      <c r="AF42" s="1398"/>
      <c r="AG42" s="1398"/>
      <c r="AH42" s="1398"/>
      <c r="AI42" s="1398"/>
      <c r="AJ42" s="1398"/>
      <c r="AK42" s="1398"/>
      <c r="AL42" s="1398"/>
      <c r="AM42" s="1398"/>
    </row>
    <row r="43" spans="1:40" s="1397" customFormat="1">
      <c r="A43" s="1398"/>
      <c r="B43" s="2193"/>
      <c r="C43" s="2191"/>
      <c r="D43" s="2191"/>
      <c r="E43" s="2191"/>
      <c r="F43" s="2191"/>
      <c r="G43" s="2191"/>
      <c r="H43" s="2191"/>
      <c r="I43" s="2191"/>
      <c r="J43" s="2191"/>
      <c r="K43" s="2191"/>
      <c r="L43" s="2191"/>
      <c r="M43" s="2191"/>
      <c r="N43" s="2191"/>
      <c r="O43" s="2191"/>
      <c r="P43" s="2191"/>
      <c r="Q43" s="2191"/>
      <c r="R43" s="2192"/>
      <c r="S43" s="2192"/>
      <c r="T43" s="2192"/>
      <c r="U43" s="2192"/>
      <c r="V43" s="2192"/>
      <c r="W43" s="2191"/>
      <c r="X43" s="2191"/>
      <c r="Y43" s="2191"/>
      <c r="Z43" s="2191"/>
      <c r="AA43" s="2191"/>
      <c r="AB43" s="2191"/>
      <c r="AC43" s="2192"/>
      <c r="AD43" s="1398"/>
      <c r="AE43" s="1398"/>
      <c r="AF43" s="1398"/>
      <c r="AG43" s="1398"/>
      <c r="AH43" s="1398"/>
      <c r="AI43" s="1398"/>
      <c r="AJ43" s="1398"/>
      <c r="AK43" s="1398"/>
      <c r="AL43" s="1398"/>
      <c r="AM43" s="1398"/>
    </row>
    <row r="44" spans="1:40" s="1397" customFormat="1" ht="15" thickBot="1">
      <c r="A44" s="2438" t="s">
        <v>1000</v>
      </c>
      <c r="B44" s="2439"/>
      <c r="C44" s="2440"/>
      <c r="D44" s="2441"/>
      <c r="E44" s="2441"/>
      <c r="F44" s="2442"/>
      <c r="G44" s="1061"/>
      <c r="H44" s="2442"/>
      <c r="I44" s="1061"/>
      <c r="J44" s="1061"/>
      <c r="K44" s="1061"/>
      <c r="L44" s="1061"/>
      <c r="M44" s="1061"/>
      <c r="O44" s="2191"/>
      <c r="P44" s="2191"/>
      <c r="Q44" s="2191"/>
      <c r="R44" s="2192"/>
      <c r="S44" s="2192"/>
      <c r="T44" s="2192"/>
      <c r="U44" s="2192"/>
      <c r="V44" s="2192"/>
      <c r="W44" s="2191"/>
      <c r="X44" s="2191"/>
      <c r="Y44" s="2191"/>
      <c r="Z44" s="2191"/>
      <c r="AA44" s="2191"/>
      <c r="AB44" s="2191"/>
      <c r="AC44" s="2192"/>
      <c r="AD44" s="1398"/>
      <c r="AE44" s="1398"/>
      <c r="AF44" s="1398"/>
      <c r="AG44" s="1398"/>
      <c r="AH44" s="1398"/>
      <c r="AI44" s="1398"/>
      <c r="AJ44" s="1398"/>
      <c r="AK44" s="1398"/>
      <c r="AL44" s="1398"/>
      <c r="AM44" s="1398"/>
    </row>
    <row r="45" spans="1:40" s="1397" customFormat="1" ht="15">
      <c r="A45" s="2443" t="s">
        <v>1001</v>
      </c>
      <c r="B45" s="2444">
        <f>1+E47</f>
        <v>1</v>
      </c>
      <c r="C45" s="2445"/>
      <c r="D45" s="2446"/>
      <c r="E45" s="2447"/>
      <c r="F45" s="2448"/>
      <c r="G45" s="2442"/>
      <c r="H45" s="2442"/>
      <c r="I45" s="1061"/>
      <c r="J45" s="1061"/>
      <c r="K45" s="1061"/>
      <c r="L45" s="1061"/>
      <c r="M45" s="1061"/>
      <c r="O45" s="2191"/>
      <c r="P45" s="2191"/>
      <c r="Q45" s="2191"/>
      <c r="R45" s="2192"/>
      <c r="S45" s="2192"/>
      <c r="T45" s="2192"/>
      <c r="U45" s="2192"/>
      <c r="V45" s="2192"/>
      <c r="W45" s="2191"/>
      <c r="X45" s="2191"/>
      <c r="Y45" s="2191"/>
      <c r="Z45" s="2191"/>
      <c r="AA45" s="2191"/>
      <c r="AB45" s="2191"/>
      <c r="AC45" s="2192"/>
      <c r="AD45" s="1398"/>
      <c r="AE45" s="1398"/>
      <c r="AF45" s="1398"/>
      <c r="AG45" s="1398"/>
      <c r="AH45" s="1398"/>
      <c r="AI45" s="1398"/>
      <c r="AJ45" s="1398"/>
      <c r="AK45" s="1398"/>
      <c r="AL45" s="1398"/>
      <c r="AM45" s="1398"/>
    </row>
    <row r="46" spans="1:40" s="1397" customFormat="1" ht="24">
      <c r="A46" s="1062" t="s">
        <v>1002</v>
      </c>
      <c r="B46" s="2427" t="s">
        <v>1003</v>
      </c>
      <c r="C46" s="2449" t="s">
        <v>1004</v>
      </c>
      <c r="D46" s="2450" t="s">
        <v>1005</v>
      </c>
      <c r="E46" s="2451" t="s">
        <v>1007</v>
      </c>
      <c r="F46" s="2452" t="s">
        <v>2245</v>
      </c>
      <c r="G46" s="2450" t="s">
        <v>1008</v>
      </c>
      <c r="H46" s="2433" t="s">
        <v>2413</v>
      </c>
      <c r="I46" s="2450" t="s">
        <v>1006</v>
      </c>
      <c r="J46" s="2453" t="s">
        <v>1009</v>
      </c>
      <c r="K46" s="2453" t="s">
        <v>1010</v>
      </c>
      <c r="L46" s="2453" t="s">
        <v>1011</v>
      </c>
      <c r="M46" s="2453" t="s">
        <v>1012</v>
      </c>
      <c r="N46" s="2453" t="s">
        <v>1013</v>
      </c>
      <c r="P46" s="2191"/>
      <c r="Q46" s="2191"/>
      <c r="R46" s="2192"/>
      <c r="S46" s="2192"/>
      <c r="T46" s="2192"/>
      <c r="U46" s="2192"/>
      <c r="V46" s="2192"/>
      <c r="W46" s="2191"/>
      <c r="X46" s="2191"/>
      <c r="Y46" s="2191"/>
      <c r="Z46" s="2191"/>
      <c r="AA46" s="2191"/>
      <c r="AB46" s="2191"/>
      <c r="AC46" s="2191"/>
      <c r="AD46" s="2192"/>
      <c r="AE46" s="1398"/>
      <c r="AF46" s="1398"/>
      <c r="AG46" s="1398"/>
      <c r="AH46" s="1398"/>
      <c r="AI46" s="1398"/>
      <c r="AJ46" s="1398"/>
      <c r="AK46" s="1398"/>
      <c r="AL46" s="1398"/>
      <c r="AM46" s="1398"/>
      <c r="AN46" s="1398"/>
    </row>
    <row r="47" spans="1:40" s="1397" customFormat="1" ht="48">
      <c r="A47" s="1062" t="s">
        <v>1014</v>
      </c>
      <c r="B47" s="2430" t="str">
        <f>估价对象房地状况!C16</f>
        <v>估价对象周边商业氛围成熟度一般，人流量一般，有河东商城等项目，商业繁华度一般</v>
      </c>
      <c r="C47" s="1045"/>
      <c r="D47" s="2436">
        <f t="shared" ref="D47:D55" si="10">SUMIF($J$46:$N$46,C47,J47:N47)</f>
        <v>0</v>
      </c>
      <c r="E47" s="2455">
        <f>ROUND(SUM(D47:D55),4)</f>
        <v>0</v>
      </c>
      <c r="F47" s="2456" t="str">
        <f>IF(E2="商业",SUMIF(L1:L12,G2,N1:N12),"——")</f>
        <v>——</v>
      </c>
      <c r="G47" s="2434"/>
      <c r="H47" s="2480" t="str">
        <f t="shared" ref="H47:H55" si="11">IFERROR(ROUNDDOWN(($F$47*I47/2),4),"——")</f>
        <v>——</v>
      </c>
      <c r="I47" s="2454">
        <v>0.33</v>
      </c>
      <c r="J47" s="2457">
        <f t="shared" ref="J47:J55" si="12">K47+$G47</f>
        <v>0</v>
      </c>
      <c r="K47" s="2457">
        <f t="shared" ref="K47:K55" si="13">$L47+$G47</f>
        <v>0</v>
      </c>
      <c r="L47" s="2457">
        <v>0</v>
      </c>
      <c r="M47" s="2457">
        <f t="shared" ref="M47:N55" si="14">L47-$G47</f>
        <v>0</v>
      </c>
      <c r="N47" s="2457">
        <f t="shared" si="14"/>
        <v>0</v>
      </c>
      <c r="P47" s="2191"/>
      <c r="Q47" s="2191"/>
      <c r="R47" s="2192"/>
      <c r="S47" s="2192"/>
      <c r="T47" s="2192"/>
      <c r="U47" s="2192"/>
      <c r="V47" s="2192"/>
      <c r="W47" s="2191"/>
      <c r="X47" s="2191"/>
      <c r="Y47" s="2191"/>
      <c r="Z47" s="2191"/>
      <c r="AA47" s="2191"/>
      <c r="AB47" s="2191"/>
      <c r="AC47" s="2191"/>
      <c r="AD47" s="2192"/>
      <c r="AE47" s="1398"/>
      <c r="AF47" s="1398"/>
      <c r="AG47" s="1398"/>
      <c r="AH47" s="1398"/>
      <c r="AI47" s="1398"/>
      <c r="AJ47" s="1398"/>
      <c r="AK47" s="1398"/>
      <c r="AL47" s="1398"/>
      <c r="AM47" s="1398"/>
      <c r="AN47" s="1398"/>
    </row>
    <row r="48" spans="1:40" s="1397" customFormat="1" ht="72">
      <c r="A48" s="1062" t="s">
        <v>1015</v>
      </c>
      <c r="B48" s="2427" t="str">
        <f>估价对象房地状况!C18</f>
        <v>估价对象周边1公里有92、840路等公交车及地铁1、9号线经过，公共交通通达情况较好、停车便捷程度较好，综合评价交通便捷度较好</v>
      </c>
      <c r="C48" s="1045"/>
      <c r="D48" s="2436">
        <f t="shared" si="10"/>
        <v>0</v>
      </c>
      <c r="E48" s="2458"/>
      <c r="F48" s="2456"/>
      <c r="G48" s="2434"/>
      <c r="H48" s="2480" t="str">
        <f t="shared" si="11"/>
        <v>——</v>
      </c>
      <c r="I48" s="2454">
        <v>0.25</v>
      </c>
      <c r="J48" s="2457">
        <f t="shared" si="12"/>
        <v>0</v>
      </c>
      <c r="K48" s="2457">
        <f t="shared" si="13"/>
        <v>0</v>
      </c>
      <c r="L48" s="2457">
        <v>0</v>
      </c>
      <c r="M48" s="2457">
        <f t="shared" si="14"/>
        <v>0</v>
      </c>
      <c r="N48" s="2457">
        <f t="shared" si="14"/>
        <v>0</v>
      </c>
      <c r="P48" s="2191"/>
      <c r="Q48" s="2191"/>
      <c r="R48" s="2192"/>
      <c r="S48" s="2192"/>
      <c r="T48" s="2192"/>
      <c r="U48" s="2192"/>
      <c r="V48" s="2192"/>
      <c r="W48" s="2191"/>
      <c r="X48" s="2191"/>
      <c r="Y48" s="2191"/>
      <c r="Z48" s="2191"/>
      <c r="AA48" s="2191"/>
      <c r="AB48" s="2191"/>
      <c r="AC48" s="2191"/>
      <c r="AD48" s="2192"/>
      <c r="AE48" s="1398"/>
      <c r="AF48" s="1398"/>
      <c r="AG48" s="1398"/>
      <c r="AH48" s="1398"/>
      <c r="AI48" s="1398"/>
      <c r="AJ48" s="1398"/>
      <c r="AK48" s="1398"/>
      <c r="AL48" s="1398"/>
      <c r="AM48" s="1398"/>
      <c r="AN48" s="1398"/>
    </row>
    <row r="49" spans="1:40" s="1397" customFormat="1" ht="24">
      <c r="A49" s="1062" t="s">
        <v>1016</v>
      </c>
      <c r="B49" s="2427" t="str">
        <f>估价对象房地状况!C19</f>
        <v>零星有其他用地，基本不影响本宗地</v>
      </c>
      <c r="C49" s="1045"/>
      <c r="D49" s="2436">
        <f t="shared" si="10"/>
        <v>0</v>
      </c>
      <c r="E49" s="2458"/>
      <c r="F49" s="2456"/>
      <c r="G49" s="2434"/>
      <c r="H49" s="2480" t="str">
        <f t="shared" si="11"/>
        <v>——</v>
      </c>
      <c r="I49" s="2454">
        <v>0.05</v>
      </c>
      <c r="J49" s="2457">
        <f t="shared" si="12"/>
        <v>0</v>
      </c>
      <c r="K49" s="2457">
        <f t="shared" si="13"/>
        <v>0</v>
      </c>
      <c r="L49" s="2457">
        <v>0</v>
      </c>
      <c r="M49" s="2457">
        <f t="shared" si="14"/>
        <v>0</v>
      </c>
      <c r="N49" s="2457">
        <f t="shared" si="14"/>
        <v>0</v>
      </c>
      <c r="P49" s="2191"/>
      <c r="Q49" s="2191"/>
      <c r="R49" s="2192"/>
      <c r="S49" s="2192"/>
      <c r="T49" s="2192"/>
      <c r="U49" s="2192"/>
      <c r="V49" s="2192"/>
      <c r="W49" s="2191"/>
      <c r="X49" s="2191"/>
      <c r="Y49" s="2191"/>
      <c r="Z49" s="2191"/>
      <c r="AA49" s="2191"/>
      <c r="AB49" s="2191"/>
      <c r="AC49" s="2191"/>
      <c r="AD49" s="2192"/>
      <c r="AE49" s="1398"/>
      <c r="AF49" s="1398"/>
      <c r="AG49" s="1398"/>
      <c r="AH49" s="1398"/>
      <c r="AI49" s="1398"/>
      <c r="AJ49" s="1398"/>
      <c r="AK49" s="1398"/>
      <c r="AL49" s="1398"/>
      <c r="AM49" s="1398"/>
      <c r="AN49" s="1398"/>
    </row>
    <row r="50" spans="1:40" s="1397" customFormat="1" ht="36">
      <c r="A50" s="1062" t="s">
        <v>1017</v>
      </c>
      <c r="B50" s="3114" t="s">
        <v>2933</v>
      </c>
      <c r="C50" s="1045"/>
      <c r="D50" s="2436">
        <f t="shared" si="10"/>
        <v>0</v>
      </c>
      <c r="E50" s="2458"/>
      <c r="F50" s="2456"/>
      <c r="G50" s="2434"/>
      <c r="H50" s="2480" t="str">
        <f t="shared" si="11"/>
        <v>——</v>
      </c>
      <c r="I50" s="2454">
        <v>0.05</v>
      </c>
      <c r="J50" s="2457">
        <f t="shared" si="12"/>
        <v>0</v>
      </c>
      <c r="K50" s="2457">
        <f t="shared" si="13"/>
        <v>0</v>
      </c>
      <c r="L50" s="2457">
        <v>0</v>
      </c>
      <c r="M50" s="2457">
        <f t="shared" si="14"/>
        <v>0</v>
      </c>
      <c r="N50" s="2457">
        <f t="shared" si="14"/>
        <v>0</v>
      </c>
      <c r="P50" s="2191"/>
      <c r="Q50" s="2191"/>
      <c r="R50" s="2192"/>
      <c r="S50" s="2192"/>
      <c r="T50" s="2192"/>
      <c r="U50" s="2192"/>
      <c r="V50" s="2192"/>
      <c r="W50" s="2191"/>
      <c r="X50" s="2191"/>
      <c r="Y50" s="2191"/>
      <c r="Z50" s="2191"/>
      <c r="AA50" s="2191"/>
      <c r="AB50" s="2191"/>
      <c r="AC50" s="2191"/>
      <c r="AD50" s="2192"/>
      <c r="AE50" s="1398"/>
      <c r="AF50" s="1398"/>
      <c r="AG50" s="1398"/>
      <c r="AH50" s="1398"/>
      <c r="AI50" s="1398"/>
      <c r="AJ50" s="1398"/>
      <c r="AK50" s="1398"/>
      <c r="AL50" s="1398"/>
      <c r="AM50" s="1398"/>
      <c r="AN50" s="1398"/>
    </row>
    <row r="51" spans="1:40" s="1397" customFormat="1" ht="24">
      <c r="A51" s="1062" t="s">
        <v>1018</v>
      </c>
      <c r="B51" s="2427" t="str">
        <f>估价对象房地状况!C24</f>
        <v>城市次干道——海河东路</v>
      </c>
      <c r="C51" s="1045"/>
      <c r="D51" s="2436">
        <f t="shared" si="10"/>
        <v>0</v>
      </c>
      <c r="E51" s="2458"/>
      <c r="F51" s="2456"/>
      <c r="G51" s="2434"/>
      <c r="H51" s="2480" t="str">
        <f t="shared" si="11"/>
        <v>——</v>
      </c>
      <c r="I51" s="2454">
        <v>0.08</v>
      </c>
      <c r="J51" s="2457">
        <f t="shared" si="12"/>
        <v>0</v>
      </c>
      <c r="K51" s="2457">
        <f t="shared" si="13"/>
        <v>0</v>
      </c>
      <c r="L51" s="2457">
        <v>0</v>
      </c>
      <c r="M51" s="2457">
        <f t="shared" si="14"/>
        <v>0</v>
      </c>
      <c r="N51" s="2457">
        <f t="shared" si="14"/>
        <v>0</v>
      </c>
      <c r="P51" s="2191"/>
      <c r="Q51" s="2191"/>
      <c r="R51" s="2192"/>
      <c r="S51" s="2192"/>
      <c r="T51" s="2192"/>
      <c r="U51" s="2192"/>
      <c r="V51" s="2192"/>
      <c r="W51" s="2191"/>
      <c r="X51" s="2191"/>
      <c r="Y51" s="2191"/>
      <c r="Z51" s="2191"/>
      <c r="AA51" s="2191"/>
      <c r="AB51" s="2191"/>
      <c r="AC51" s="2191"/>
      <c r="AD51" s="2192"/>
      <c r="AE51" s="1398"/>
      <c r="AF51" s="1398"/>
      <c r="AG51" s="1398"/>
      <c r="AH51" s="1398"/>
      <c r="AI51" s="1398"/>
      <c r="AJ51" s="1398"/>
      <c r="AK51" s="1398"/>
      <c r="AL51" s="1398"/>
      <c r="AM51" s="1398"/>
      <c r="AN51" s="1398"/>
    </row>
    <row r="52" spans="1:40" s="1397" customFormat="1" ht="24">
      <c r="A52" s="1062" t="s">
        <v>1019</v>
      </c>
      <c r="B52" s="3113" t="s">
        <v>2932</v>
      </c>
      <c r="C52" s="1045"/>
      <c r="D52" s="2436">
        <f t="shared" si="10"/>
        <v>0</v>
      </c>
      <c r="E52" s="2458"/>
      <c r="F52" s="2456"/>
      <c r="G52" s="2434"/>
      <c r="H52" s="2480" t="str">
        <f t="shared" si="11"/>
        <v>——</v>
      </c>
      <c r="I52" s="2454">
        <v>0.03</v>
      </c>
      <c r="J52" s="2457">
        <f t="shared" si="12"/>
        <v>0</v>
      </c>
      <c r="K52" s="2457">
        <f t="shared" si="13"/>
        <v>0</v>
      </c>
      <c r="L52" s="2457">
        <v>0</v>
      </c>
      <c r="M52" s="2457">
        <f t="shared" si="14"/>
        <v>0</v>
      </c>
      <c r="N52" s="2457">
        <f t="shared" si="14"/>
        <v>0</v>
      </c>
      <c r="P52" s="2191"/>
      <c r="Q52" s="2191"/>
      <c r="R52" s="2192"/>
      <c r="S52" s="2192"/>
      <c r="T52" s="2192"/>
      <c r="U52" s="2192"/>
      <c r="V52" s="2192"/>
      <c r="W52" s="2191"/>
      <c r="X52" s="2191"/>
      <c r="Y52" s="2191"/>
      <c r="Z52" s="2191"/>
      <c r="AA52" s="2191"/>
      <c r="AB52" s="2191"/>
      <c r="AC52" s="2191"/>
      <c r="AD52" s="2192"/>
      <c r="AE52" s="1398"/>
      <c r="AF52" s="1398"/>
      <c r="AG52" s="1398"/>
      <c r="AH52" s="1398"/>
      <c r="AI52" s="1398"/>
      <c r="AJ52" s="1398"/>
      <c r="AK52" s="1398"/>
      <c r="AL52" s="1398"/>
      <c r="AM52" s="1398"/>
      <c r="AN52" s="1398"/>
    </row>
    <row r="53" spans="1:40" s="1397" customFormat="1" ht="24">
      <c r="A53" s="2459" t="s">
        <v>1020</v>
      </c>
      <c r="B53" s="2428" t="str">
        <f>估价对象房地状况!C21</f>
        <v>估价对象所在区域公共配套设施齐备情况一般</v>
      </c>
      <c r="C53" s="1045"/>
      <c r="D53" s="2436">
        <f t="shared" si="10"/>
        <v>0</v>
      </c>
      <c r="E53" s="2458"/>
      <c r="F53" s="2456"/>
      <c r="G53" s="2434"/>
      <c r="H53" s="2480" t="str">
        <f t="shared" si="11"/>
        <v>——</v>
      </c>
      <c r="I53" s="2454">
        <v>0.05</v>
      </c>
      <c r="J53" s="2457">
        <f t="shared" si="12"/>
        <v>0</v>
      </c>
      <c r="K53" s="2457">
        <f t="shared" si="13"/>
        <v>0</v>
      </c>
      <c r="L53" s="2457">
        <v>0</v>
      </c>
      <c r="M53" s="2457">
        <f t="shared" si="14"/>
        <v>0</v>
      </c>
      <c r="N53" s="2457">
        <f t="shared" si="14"/>
        <v>0</v>
      </c>
      <c r="P53" s="2191"/>
      <c r="Q53" s="2191"/>
      <c r="R53" s="2192"/>
      <c r="S53" s="2192"/>
      <c r="T53" s="2192"/>
      <c r="U53" s="2192"/>
      <c r="V53" s="2192"/>
      <c r="W53" s="2191"/>
      <c r="X53" s="2191"/>
      <c r="Y53" s="2191"/>
      <c r="Z53" s="2191"/>
      <c r="AA53" s="2191"/>
      <c r="AB53" s="2191"/>
      <c r="AC53" s="2191"/>
      <c r="AD53" s="2192"/>
      <c r="AE53" s="1398"/>
      <c r="AF53" s="1398"/>
      <c r="AG53" s="1398"/>
      <c r="AH53" s="1398"/>
      <c r="AI53" s="1398"/>
      <c r="AJ53" s="1398"/>
      <c r="AK53" s="1398"/>
      <c r="AL53" s="1398"/>
      <c r="AM53" s="1398"/>
      <c r="AN53" s="1398"/>
    </row>
    <row r="54" spans="1:40" s="1397" customFormat="1" ht="24">
      <c r="A54" s="2459" t="s">
        <v>1021</v>
      </c>
      <c r="B54" s="2427" t="str">
        <f>估价对象房地状况!C22</f>
        <v>估价对象所在区域基础设施水平-六通</v>
      </c>
      <c r="C54" s="1045"/>
      <c r="D54" s="2436">
        <f t="shared" si="10"/>
        <v>0</v>
      </c>
      <c r="E54" s="2458"/>
      <c r="F54" s="2456"/>
      <c r="G54" s="2434"/>
      <c r="H54" s="2480" t="str">
        <f t="shared" si="11"/>
        <v>——</v>
      </c>
      <c r="I54" s="2454">
        <v>0.1</v>
      </c>
      <c r="J54" s="2457">
        <f t="shared" si="12"/>
        <v>0</v>
      </c>
      <c r="K54" s="2457">
        <f t="shared" si="13"/>
        <v>0</v>
      </c>
      <c r="L54" s="2457">
        <v>0</v>
      </c>
      <c r="M54" s="2457">
        <f t="shared" si="14"/>
        <v>0</v>
      </c>
      <c r="N54" s="2457">
        <f t="shared" si="14"/>
        <v>0</v>
      </c>
      <c r="P54" s="2191"/>
      <c r="Q54" s="2191"/>
      <c r="R54" s="2192"/>
      <c r="S54" s="2192"/>
      <c r="T54" s="2192"/>
      <c r="U54" s="2192"/>
      <c r="V54" s="2192"/>
      <c r="W54" s="2191"/>
      <c r="X54" s="2191"/>
      <c r="Y54" s="2191"/>
      <c r="Z54" s="2191"/>
      <c r="AA54" s="2191"/>
      <c r="AB54" s="2191"/>
      <c r="AC54" s="2191"/>
      <c r="AD54" s="2192"/>
      <c r="AE54" s="1398"/>
      <c r="AF54" s="1398"/>
      <c r="AG54" s="1398"/>
      <c r="AH54" s="1398"/>
      <c r="AI54" s="1398"/>
      <c r="AJ54" s="1398"/>
      <c r="AK54" s="1398"/>
      <c r="AL54" s="1398"/>
      <c r="AM54" s="1398"/>
      <c r="AN54" s="1398"/>
    </row>
    <row r="55" spans="1:40" s="1397" customFormat="1" ht="24.75" thickBot="1">
      <c r="A55" s="2460" t="s">
        <v>1022</v>
      </c>
      <c r="B55" s="2431" t="str">
        <f>估价对象房地状况!C20</f>
        <v>周边2公里内区域自然环境较好</v>
      </c>
      <c r="C55" s="1045"/>
      <c r="D55" s="2436">
        <f t="shared" si="10"/>
        <v>0</v>
      </c>
      <c r="E55" s="2462"/>
      <c r="F55" s="2456"/>
      <c r="G55" s="2434"/>
      <c r="H55" s="2480" t="str">
        <f t="shared" si="11"/>
        <v>——</v>
      </c>
      <c r="I55" s="2461">
        <v>0.06</v>
      </c>
      <c r="J55" s="2457">
        <f t="shared" si="12"/>
        <v>0</v>
      </c>
      <c r="K55" s="2457">
        <f t="shared" si="13"/>
        <v>0</v>
      </c>
      <c r="L55" s="2457">
        <v>0</v>
      </c>
      <c r="M55" s="2457">
        <f t="shared" si="14"/>
        <v>0</v>
      </c>
      <c r="N55" s="2457">
        <f t="shared" si="14"/>
        <v>0</v>
      </c>
      <c r="P55" s="2191"/>
      <c r="Q55" s="2191"/>
      <c r="R55" s="2192"/>
      <c r="S55" s="2192"/>
      <c r="T55" s="2192"/>
      <c r="U55" s="2192"/>
      <c r="V55" s="2192"/>
      <c r="W55" s="2191"/>
      <c r="X55" s="2191"/>
      <c r="Y55" s="2191"/>
      <c r="Z55" s="2191"/>
      <c r="AA55" s="2191"/>
      <c r="AB55" s="2191"/>
      <c r="AC55" s="2191"/>
      <c r="AD55" s="2192"/>
      <c r="AE55" s="1398"/>
      <c r="AF55" s="1398"/>
      <c r="AG55" s="1398"/>
      <c r="AH55" s="1398"/>
      <c r="AI55" s="1398"/>
      <c r="AJ55" s="1398"/>
      <c r="AK55" s="1398"/>
      <c r="AL55" s="1398"/>
      <c r="AM55" s="1398"/>
      <c r="AN55" s="1398"/>
    </row>
    <row r="56" spans="1:40" s="1397" customFormat="1" ht="15">
      <c r="A56" s="2443" t="s">
        <v>1023</v>
      </c>
      <c r="B56" s="2444">
        <f>1+E58</f>
        <v>1</v>
      </c>
      <c r="C56" s="2463"/>
      <c r="D56" s="2446"/>
      <c r="E56" s="2447"/>
      <c r="F56" s="2448"/>
      <c r="G56" s="2442"/>
      <c r="H56" s="2442"/>
      <c r="I56" s="2442"/>
      <c r="J56" s="1061"/>
      <c r="K56" s="1061"/>
      <c r="L56" s="1061"/>
      <c r="M56" s="1061"/>
      <c r="N56" s="1061"/>
      <c r="P56" s="2191"/>
      <c r="Q56" s="2191"/>
      <c r="R56" s="2192"/>
      <c r="S56" s="2192"/>
      <c r="T56" s="2192"/>
      <c r="U56" s="2192"/>
      <c r="V56" s="2192"/>
      <c r="W56" s="2191"/>
      <c r="X56" s="2191"/>
      <c r="Y56" s="2191"/>
      <c r="Z56" s="2191"/>
      <c r="AA56" s="2191"/>
      <c r="AB56" s="2191"/>
      <c r="AC56" s="2191"/>
      <c r="AD56" s="2192"/>
      <c r="AE56" s="1398"/>
      <c r="AF56" s="1398"/>
      <c r="AG56" s="1398"/>
      <c r="AH56" s="1398"/>
      <c r="AI56" s="1398"/>
      <c r="AJ56" s="1398"/>
      <c r="AK56" s="1398"/>
      <c r="AL56" s="1398"/>
      <c r="AM56" s="1398"/>
      <c r="AN56" s="1398"/>
    </row>
    <row r="57" spans="1:40" s="1397" customFormat="1" ht="24">
      <c r="A57" s="1062" t="s">
        <v>1002</v>
      </c>
      <c r="B57" s="2427"/>
      <c r="C57" s="2449" t="s">
        <v>1004</v>
      </c>
      <c r="D57" s="2450" t="s">
        <v>1005</v>
      </c>
      <c r="E57" s="2451" t="s">
        <v>1007</v>
      </c>
      <c r="F57" s="2452" t="s">
        <v>2246</v>
      </c>
      <c r="G57" s="2450" t="s">
        <v>1008</v>
      </c>
      <c r="H57" s="2433" t="s">
        <v>2413</v>
      </c>
      <c r="I57" s="2450" t="s">
        <v>1006</v>
      </c>
      <c r="J57" s="2453" t="s">
        <v>1009</v>
      </c>
      <c r="K57" s="2453" t="s">
        <v>1010</v>
      </c>
      <c r="L57" s="2453" t="s">
        <v>1011</v>
      </c>
      <c r="M57" s="2453" t="s">
        <v>1012</v>
      </c>
      <c r="N57" s="2453" t="s">
        <v>1013</v>
      </c>
      <c r="P57" s="2191"/>
      <c r="Q57" s="2191"/>
      <c r="R57" s="2192"/>
      <c r="S57" s="2192"/>
      <c r="T57" s="2192"/>
      <c r="U57" s="2192"/>
      <c r="V57" s="2192"/>
      <c r="W57" s="2191"/>
      <c r="X57" s="2191"/>
      <c r="Y57" s="2191"/>
      <c r="Z57" s="2191"/>
      <c r="AA57" s="2191"/>
      <c r="AB57" s="2191"/>
      <c r="AC57" s="2191"/>
      <c r="AD57" s="2192"/>
      <c r="AE57" s="1398"/>
      <c r="AF57" s="1398"/>
      <c r="AG57" s="1398"/>
      <c r="AH57" s="1398"/>
      <c r="AI57" s="1398"/>
      <c r="AJ57" s="1398"/>
      <c r="AK57" s="1398"/>
      <c r="AL57" s="1398"/>
      <c r="AM57" s="1398"/>
      <c r="AN57" s="1398"/>
    </row>
    <row r="58" spans="1:40" s="1397" customFormat="1" ht="60">
      <c r="A58" s="1062" t="s">
        <v>1024</v>
      </c>
      <c r="B58" s="2430" t="str">
        <f>估价对象房地状况!C17</f>
        <v>估价对象周边商务办公氛围较好，有泰达大厦、金皇大厦、万通中心等多个写字楼项目，办公集聚程度较好</v>
      </c>
      <c r="C58" s="1045"/>
      <c r="D58" s="2436">
        <f t="shared" ref="D58:D66" si="15">SUMIF($J$57:$N$57,C58,J58:N58)</f>
        <v>0</v>
      </c>
      <c r="E58" s="2455">
        <f>ROUND(SUM(D58:D66),4)</f>
        <v>0</v>
      </c>
      <c r="F58" s="2456" t="str">
        <f>IF(E2="办公",SUMIF(L1:L12,G2,N1:N12),"——")</f>
        <v>——</v>
      </c>
      <c r="G58" s="2434"/>
      <c r="H58" s="2480" t="str">
        <f>IFERROR(ROUNDDOWN($F$58*I58/2,4),"——")</f>
        <v>——</v>
      </c>
      <c r="I58" s="2454">
        <v>0.24</v>
      </c>
      <c r="J58" s="2457">
        <f t="shared" ref="J58:J66" si="16">K58+$G58</f>
        <v>0</v>
      </c>
      <c r="K58" s="2457">
        <f t="shared" ref="K58:K66" si="17">$L58+$G58</f>
        <v>0</v>
      </c>
      <c r="L58" s="2457">
        <v>0</v>
      </c>
      <c r="M58" s="2457">
        <f t="shared" ref="M58:N66" si="18">L58-$G58</f>
        <v>0</v>
      </c>
      <c r="N58" s="2457">
        <f t="shared" si="18"/>
        <v>0</v>
      </c>
      <c r="P58" s="2191"/>
      <c r="Q58" s="2191"/>
      <c r="R58" s="2192"/>
      <c r="S58" s="2192"/>
      <c r="T58" s="2192"/>
      <c r="U58" s="2192"/>
      <c r="V58" s="2192"/>
      <c r="W58" s="2191"/>
      <c r="X58" s="2191"/>
      <c r="Y58" s="2191"/>
      <c r="Z58" s="2191"/>
      <c r="AA58" s="2191"/>
      <c r="AB58" s="2191"/>
      <c r="AC58" s="2191"/>
      <c r="AD58" s="2192"/>
      <c r="AE58" s="1398"/>
      <c r="AF58" s="1398"/>
      <c r="AG58" s="1398"/>
      <c r="AH58" s="1398"/>
      <c r="AI58" s="1398"/>
      <c r="AJ58" s="1398"/>
      <c r="AK58" s="1398"/>
      <c r="AL58" s="1398"/>
      <c r="AM58" s="1398"/>
      <c r="AN58" s="1398"/>
    </row>
    <row r="59" spans="1:40" s="1397" customFormat="1" ht="72">
      <c r="A59" s="1062" t="s">
        <v>1015</v>
      </c>
      <c r="B59" s="2427" t="str">
        <f>估价对象房地状况!C18</f>
        <v>估价对象周边1公里有92、840路等公交车及地铁1、9号线经过，公共交通通达情况较好、停车便捷程度较好，综合评价交通便捷度较好</v>
      </c>
      <c r="C59" s="1045"/>
      <c r="D59" s="2436">
        <f t="shared" si="15"/>
        <v>0</v>
      </c>
      <c r="E59" s="2458"/>
      <c r="F59" s="2456"/>
      <c r="G59" s="2434"/>
      <c r="H59" s="2435" t="str">
        <f t="shared" ref="H59:H66" si="19">IFERROR($F$58*I59/2,"——")</f>
        <v>——</v>
      </c>
      <c r="I59" s="2454">
        <v>0.3</v>
      </c>
      <c r="J59" s="2457">
        <f t="shared" si="16"/>
        <v>0</v>
      </c>
      <c r="K59" s="2457">
        <f t="shared" si="17"/>
        <v>0</v>
      </c>
      <c r="L59" s="2457">
        <v>0</v>
      </c>
      <c r="M59" s="2457">
        <f t="shared" si="18"/>
        <v>0</v>
      </c>
      <c r="N59" s="2457">
        <f t="shared" si="18"/>
        <v>0</v>
      </c>
      <c r="P59" s="2191"/>
      <c r="Q59" s="2191"/>
      <c r="R59" s="2192"/>
      <c r="S59" s="2192"/>
      <c r="T59" s="2192"/>
      <c r="U59" s="2192"/>
      <c r="V59" s="2192"/>
      <c r="W59" s="2191"/>
      <c r="X59" s="2191"/>
      <c r="Y59" s="2191"/>
      <c r="Z59" s="2191"/>
      <c r="AA59" s="2191"/>
      <c r="AB59" s="2191"/>
      <c r="AC59" s="2191"/>
      <c r="AD59" s="2192"/>
      <c r="AE59" s="1398"/>
      <c r="AF59" s="1398"/>
      <c r="AG59" s="1398"/>
      <c r="AH59" s="1398"/>
      <c r="AI59" s="1398"/>
      <c r="AJ59" s="1398"/>
      <c r="AK59" s="1398"/>
      <c r="AL59" s="1398"/>
      <c r="AM59" s="1398"/>
      <c r="AN59" s="1398"/>
    </row>
    <row r="60" spans="1:40" s="1397" customFormat="1" ht="24">
      <c r="A60" s="1062" t="s">
        <v>1016</v>
      </c>
      <c r="B60" s="2427" t="str">
        <f>估价对象房地状况!C19</f>
        <v>零星有其他用地，基本不影响本宗地</v>
      </c>
      <c r="C60" s="1045"/>
      <c r="D60" s="2436">
        <f t="shared" si="15"/>
        <v>0</v>
      </c>
      <c r="E60" s="2458"/>
      <c r="F60" s="2456"/>
      <c r="G60" s="2434"/>
      <c r="H60" s="2435" t="str">
        <f t="shared" si="19"/>
        <v>——</v>
      </c>
      <c r="I60" s="2454">
        <v>0.08</v>
      </c>
      <c r="J60" s="2457">
        <f t="shared" si="16"/>
        <v>0</v>
      </c>
      <c r="K60" s="2457">
        <f t="shared" si="17"/>
        <v>0</v>
      </c>
      <c r="L60" s="2457">
        <v>0</v>
      </c>
      <c r="M60" s="2457">
        <f t="shared" si="18"/>
        <v>0</v>
      </c>
      <c r="N60" s="2457">
        <f t="shared" si="18"/>
        <v>0</v>
      </c>
      <c r="P60" s="2191"/>
      <c r="Q60" s="2191"/>
      <c r="R60" s="2192"/>
      <c r="S60" s="2192"/>
      <c r="T60" s="2192"/>
      <c r="U60" s="2192"/>
      <c r="V60" s="2192"/>
      <c r="W60" s="2191"/>
      <c r="X60" s="2191"/>
      <c r="Y60" s="2191"/>
      <c r="Z60" s="2191"/>
      <c r="AA60" s="2191"/>
      <c r="AB60" s="2191"/>
      <c r="AC60" s="2191"/>
      <c r="AD60" s="2192"/>
      <c r="AE60" s="1398"/>
      <c r="AF60" s="1398"/>
      <c r="AG60" s="1398"/>
      <c r="AH60" s="1398"/>
      <c r="AI60" s="1398"/>
      <c r="AJ60" s="1398"/>
      <c r="AK60" s="1398"/>
      <c r="AL60" s="1398"/>
      <c r="AM60" s="1398"/>
      <c r="AN60" s="1398"/>
    </row>
    <row r="61" spans="1:40" s="1397" customFormat="1" ht="36">
      <c r="A61" s="1062" t="s">
        <v>1017</v>
      </c>
      <c r="B61" s="3114" t="s">
        <v>2934</v>
      </c>
      <c r="C61" s="1045"/>
      <c r="D61" s="2436">
        <f t="shared" si="15"/>
        <v>0</v>
      </c>
      <c r="E61" s="2458"/>
      <c r="F61" s="2456"/>
      <c r="G61" s="2434"/>
      <c r="H61" s="2435" t="str">
        <f t="shared" si="19"/>
        <v>——</v>
      </c>
      <c r="I61" s="2454">
        <v>0.04</v>
      </c>
      <c r="J61" s="2457">
        <f t="shared" si="16"/>
        <v>0</v>
      </c>
      <c r="K61" s="2457">
        <f t="shared" si="17"/>
        <v>0</v>
      </c>
      <c r="L61" s="2457">
        <v>0</v>
      </c>
      <c r="M61" s="2457">
        <f t="shared" si="18"/>
        <v>0</v>
      </c>
      <c r="N61" s="2457">
        <f t="shared" si="18"/>
        <v>0</v>
      </c>
      <c r="P61" s="2191"/>
      <c r="Q61" s="2191"/>
      <c r="R61" s="2192"/>
      <c r="S61" s="2192"/>
      <c r="T61" s="2192"/>
      <c r="U61" s="2192"/>
      <c r="V61" s="2192"/>
      <c r="W61" s="2191"/>
      <c r="X61" s="2191"/>
      <c r="Y61" s="2191"/>
      <c r="Z61" s="2191"/>
      <c r="AA61" s="2191"/>
      <c r="AB61" s="2191"/>
      <c r="AC61" s="2191"/>
      <c r="AD61" s="2192"/>
      <c r="AE61" s="1398"/>
      <c r="AF61" s="1398"/>
      <c r="AG61" s="1398"/>
      <c r="AH61" s="1398"/>
      <c r="AI61" s="1398"/>
      <c r="AJ61" s="1398"/>
      <c r="AK61" s="1398"/>
      <c r="AL61" s="1398"/>
      <c r="AM61" s="1398"/>
      <c r="AN61" s="1398"/>
    </row>
    <row r="62" spans="1:40" s="1397" customFormat="1" ht="24">
      <c r="A62" s="1062" t="s">
        <v>1018</v>
      </c>
      <c r="B62" s="2427" t="str">
        <f>估价对象房地状况!C24</f>
        <v>城市次干道——海河东路</v>
      </c>
      <c r="C62" s="1045"/>
      <c r="D62" s="2436">
        <f t="shared" si="15"/>
        <v>0</v>
      </c>
      <c r="E62" s="2458"/>
      <c r="F62" s="2456"/>
      <c r="G62" s="2434"/>
      <c r="H62" s="2435" t="str">
        <f t="shared" si="19"/>
        <v>——</v>
      </c>
      <c r="I62" s="2454">
        <v>0.05</v>
      </c>
      <c r="J62" s="2457">
        <f t="shared" si="16"/>
        <v>0</v>
      </c>
      <c r="K62" s="2457">
        <f t="shared" si="17"/>
        <v>0</v>
      </c>
      <c r="L62" s="2457">
        <v>0</v>
      </c>
      <c r="M62" s="2457">
        <f t="shared" si="18"/>
        <v>0</v>
      </c>
      <c r="N62" s="2457">
        <f t="shared" si="18"/>
        <v>0</v>
      </c>
      <c r="P62" s="2191"/>
      <c r="Q62" s="2191"/>
      <c r="R62" s="2192"/>
      <c r="S62" s="2192"/>
      <c r="T62" s="2192"/>
      <c r="U62" s="2192"/>
      <c r="V62" s="2192"/>
      <c r="W62" s="2191"/>
      <c r="X62" s="2191"/>
      <c r="Y62" s="2191"/>
      <c r="Z62" s="2191"/>
      <c r="AA62" s="2191"/>
      <c r="AB62" s="2191"/>
      <c r="AC62" s="2191"/>
      <c r="AD62" s="2192"/>
      <c r="AE62" s="1398"/>
      <c r="AF62" s="1398"/>
      <c r="AG62" s="1398"/>
      <c r="AH62" s="1398"/>
      <c r="AI62" s="1398"/>
      <c r="AJ62" s="1398"/>
      <c r="AK62" s="1398"/>
      <c r="AL62" s="1398"/>
      <c r="AM62" s="1398"/>
      <c r="AN62" s="1398"/>
    </row>
    <row r="63" spans="1:40" s="1397" customFormat="1" ht="24">
      <c r="A63" s="1062" t="s">
        <v>1019</v>
      </c>
      <c r="B63" s="3113" t="s">
        <v>2932</v>
      </c>
      <c r="C63" s="1045"/>
      <c r="D63" s="2436">
        <f t="shared" si="15"/>
        <v>0</v>
      </c>
      <c r="E63" s="2458"/>
      <c r="F63" s="2456"/>
      <c r="G63" s="2434"/>
      <c r="H63" s="2435" t="str">
        <f t="shared" si="19"/>
        <v>——</v>
      </c>
      <c r="I63" s="2454">
        <v>0.05</v>
      </c>
      <c r="J63" s="2457">
        <f t="shared" si="16"/>
        <v>0</v>
      </c>
      <c r="K63" s="2457">
        <f t="shared" si="17"/>
        <v>0</v>
      </c>
      <c r="L63" s="2457">
        <v>0</v>
      </c>
      <c r="M63" s="2457">
        <f t="shared" si="18"/>
        <v>0</v>
      </c>
      <c r="N63" s="2457">
        <f t="shared" si="18"/>
        <v>0</v>
      </c>
      <c r="P63" s="2191"/>
      <c r="Q63" s="2191"/>
      <c r="R63" s="2192"/>
      <c r="S63" s="2192"/>
      <c r="T63" s="2192"/>
      <c r="U63" s="2192"/>
      <c r="V63" s="2192"/>
      <c r="W63" s="2191"/>
      <c r="X63" s="2191"/>
      <c r="Y63" s="2191"/>
      <c r="Z63" s="2191"/>
      <c r="AA63" s="2191"/>
      <c r="AB63" s="2191"/>
      <c r="AC63" s="2191"/>
      <c r="AD63" s="2192"/>
      <c r="AE63" s="1398"/>
      <c r="AF63" s="1398"/>
      <c r="AG63" s="1398"/>
      <c r="AH63" s="1398"/>
      <c r="AI63" s="1398"/>
      <c r="AJ63" s="1398"/>
      <c r="AK63" s="1398"/>
      <c r="AL63" s="1398"/>
      <c r="AM63" s="1398"/>
      <c r="AN63" s="1398"/>
    </row>
    <row r="64" spans="1:40" s="1397" customFormat="1" ht="24">
      <c r="A64" s="1062" t="s">
        <v>1020</v>
      </c>
      <c r="B64" s="2428" t="str">
        <f>估价对象房地状况!C21</f>
        <v>估价对象所在区域公共配套设施齐备情况一般</v>
      </c>
      <c r="C64" s="1045"/>
      <c r="D64" s="2436">
        <f t="shared" si="15"/>
        <v>0</v>
      </c>
      <c r="E64" s="2458"/>
      <c r="F64" s="2456"/>
      <c r="G64" s="2434"/>
      <c r="H64" s="2435" t="str">
        <f t="shared" si="19"/>
        <v>——</v>
      </c>
      <c r="I64" s="2454">
        <v>0.06</v>
      </c>
      <c r="J64" s="2457">
        <f t="shared" si="16"/>
        <v>0</v>
      </c>
      <c r="K64" s="2457">
        <f t="shared" si="17"/>
        <v>0</v>
      </c>
      <c r="L64" s="2457">
        <v>0</v>
      </c>
      <c r="M64" s="2457">
        <f t="shared" si="18"/>
        <v>0</v>
      </c>
      <c r="N64" s="2457">
        <f t="shared" si="18"/>
        <v>0</v>
      </c>
      <c r="P64" s="2191"/>
      <c r="Q64" s="2191"/>
      <c r="R64" s="2192"/>
      <c r="S64" s="2192"/>
      <c r="T64" s="2192"/>
      <c r="U64" s="2192"/>
      <c r="V64" s="2192"/>
      <c r="W64" s="2191"/>
      <c r="X64" s="2191"/>
      <c r="Y64" s="2191"/>
      <c r="Z64" s="2191"/>
      <c r="AA64" s="2191"/>
      <c r="AB64" s="2191"/>
      <c r="AC64" s="2191"/>
      <c r="AD64" s="2192"/>
      <c r="AE64" s="1398"/>
      <c r="AF64" s="1398"/>
      <c r="AG64" s="1398"/>
      <c r="AH64" s="1398"/>
      <c r="AI64" s="1398"/>
      <c r="AJ64" s="1398"/>
      <c r="AK64" s="1398"/>
      <c r="AL64" s="1398"/>
      <c r="AM64" s="1398"/>
      <c r="AN64" s="1398"/>
    </row>
    <row r="65" spans="1:40" s="1397" customFormat="1" ht="24">
      <c r="A65" s="1062" t="s">
        <v>1021</v>
      </c>
      <c r="B65" s="2428" t="str">
        <f>估价对象房地状况!C22</f>
        <v>估价对象所在区域基础设施水平-六通</v>
      </c>
      <c r="C65" s="1045"/>
      <c r="D65" s="2436">
        <f t="shared" si="15"/>
        <v>0</v>
      </c>
      <c r="E65" s="2458"/>
      <c r="F65" s="2456"/>
      <c r="G65" s="2434"/>
      <c r="H65" s="2435" t="str">
        <f t="shared" si="19"/>
        <v>——</v>
      </c>
      <c r="I65" s="2454">
        <v>0.12</v>
      </c>
      <c r="J65" s="2457">
        <f t="shared" si="16"/>
        <v>0</v>
      </c>
      <c r="K65" s="2457">
        <f t="shared" si="17"/>
        <v>0</v>
      </c>
      <c r="L65" s="2457">
        <v>0</v>
      </c>
      <c r="M65" s="2457">
        <f t="shared" si="18"/>
        <v>0</v>
      </c>
      <c r="N65" s="2457">
        <f t="shared" si="18"/>
        <v>0</v>
      </c>
      <c r="P65" s="2191"/>
      <c r="Q65" s="2191"/>
      <c r="R65" s="2192"/>
      <c r="S65" s="2192"/>
      <c r="T65" s="2192"/>
      <c r="U65" s="2192"/>
      <c r="V65" s="2192"/>
      <c r="W65" s="2191"/>
      <c r="X65" s="2191"/>
      <c r="Y65" s="2191"/>
      <c r="Z65" s="2191"/>
      <c r="AA65" s="2191"/>
      <c r="AB65" s="2191"/>
      <c r="AC65" s="2191"/>
      <c r="AD65" s="2192"/>
      <c r="AE65" s="1398"/>
      <c r="AF65" s="1398"/>
      <c r="AG65" s="1398"/>
      <c r="AH65" s="1398"/>
      <c r="AI65" s="1398"/>
      <c r="AJ65" s="1398"/>
      <c r="AK65" s="1398"/>
      <c r="AL65" s="1398"/>
      <c r="AM65" s="1398"/>
      <c r="AN65" s="1398"/>
    </row>
    <row r="66" spans="1:40" s="1397" customFormat="1" ht="24.75" thickBot="1">
      <c r="A66" s="2460" t="s">
        <v>1022</v>
      </c>
      <c r="B66" s="2432" t="str">
        <f>估价对象房地状况!C20</f>
        <v>周边2公里内区域自然环境较好</v>
      </c>
      <c r="C66" s="1045"/>
      <c r="D66" s="2436">
        <f t="shared" si="15"/>
        <v>0</v>
      </c>
      <c r="E66" s="2462"/>
      <c r="F66" s="2456"/>
      <c r="G66" s="2434"/>
      <c r="H66" s="2435" t="str">
        <f t="shared" si="19"/>
        <v>——</v>
      </c>
      <c r="I66" s="2461">
        <v>0.06</v>
      </c>
      <c r="J66" s="2457">
        <f t="shared" si="16"/>
        <v>0</v>
      </c>
      <c r="K66" s="2457">
        <f t="shared" si="17"/>
        <v>0</v>
      </c>
      <c r="L66" s="2457">
        <v>0</v>
      </c>
      <c r="M66" s="2457">
        <f t="shared" si="18"/>
        <v>0</v>
      </c>
      <c r="N66" s="2457">
        <f t="shared" si="18"/>
        <v>0</v>
      </c>
      <c r="P66" s="2191"/>
      <c r="Q66" s="2191"/>
      <c r="R66" s="2192"/>
      <c r="S66" s="2192"/>
      <c r="T66" s="2192"/>
      <c r="U66" s="2192"/>
      <c r="V66" s="2192"/>
      <c r="W66" s="2191"/>
      <c r="X66" s="2191"/>
      <c r="Y66" s="2191"/>
      <c r="Z66" s="2191"/>
      <c r="AA66" s="2191"/>
      <c r="AB66" s="2191"/>
      <c r="AC66" s="2191"/>
      <c r="AD66" s="2192"/>
      <c r="AE66" s="1398"/>
      <c r="AF66" s="1398"/>
      <c r="AG66" s="1398"/>
      <c r="AH66" s="1398"/>
      <c r="AI66" s="1398"/>
      <c r="AJ66" s="1398"/>
      <c r="AK66" s="1398"/>
      <c r="AL66" s="1398"/>
      <c r="AM66" s="1398"/>
      <c r="AN66" s="1398"/>
    </row>
    <row r="67" spans="1:40" s="1397" customFormat="1" ht="15">
      <c r="A67" s="2443" t="s">
        <v>1025</v>
      </c>
      <c r="B67" s="2444">
        <f>1+E69</f>
        <v>1</v>
      </c>
      <c r="C67" s="2463"/>
      <c r="D67" s="2446"/>
      <c r="E67" s="2447"/>
      <c r="F67" s="2448"/>
      <c r="G67" s="2442"/>
      <c r="H67" s="2442"/>
      <c r="I67" s="2442"/>
      <c r="J67" s="1061"/>
      <c r="K67" s="1061"/>
      <c r="L67" s="1061"/>
      <c r="M67" s="1061"/>
      <c r="N67" s="1061"/>
      <c r="P67" s="2191"/>
      <c r="Q67" s="2191"/>
      <c r="R67" s="2192"/>
      <c r="S67" s="2192"/>
      <c r="T67" s="2192"/>
      <c r="U67" s="2192"/>
      <c r="V67" s="2192"/>
      <c r="W67" s="2191"/>
      <c r="X67" s="2191"/>
      <c r="Y67" s="2191"/>
      <c r="Z67" s="2191"/>
      <c r="AA67" s="2191"/>
      <c r="AB67" s="2191"/>
      <c r="AC67" s="2191"/>
      <c r="AD67" s="2192"/>
      <c r="AE67" s="1398"/>
      <c r="AF67" s="1398"/>
      <c r="AG67" s="1398"/>
      <c r="AH67" s="1398"/>
      <c r="AI67" s="1398"/>
      <c r="AJ67" s="1398"/>
      <c r="AK67" s="1398"/>
      <c r="AL67" s="1398"/>
      <c r="AM67" s="1398"/>
      <c r="AN67" s="1398"/>
    </row>
    <row r="68" spans="1:40" s="1397" customFormat="1" ht="24">
      <c r="A68" s="1062" t="s">
        <v>1002</v>
      </c>
      <c r="B68" s="2427"/>
      <c r="C68" s="2449" t="s">
        <v>1004</v>
      </c>
      <c r="D68" s="2450" t="s">
        <v>1005</v>
      </c>
      <c r="E68" s="2451" t="s">
        <v>1007</v>
      </c>
      <c r="F68" s="2452" t="s">
        <v>2247</v>
      </c>
      <c r="G68" s="2450" t="s">
        <v>1008</v>
      </c>
      <c r="H68" s="2433" t="s">
        <v>2413</v>
      </c>
      <c r="I68" s="2450" t="s">
        <v>1006</v>
      </c>
      <c r="J68" s="2453" t="s">
        <v>1009</v>
      </c>
      <c r="K68" s="2453" t="s">
        <v>1010</v>
      </c>
      <c r="L68" s="2453" t="s">
        <v>1011</v>
      </c>
      <c r="M68" s="2453" t="s">
        <v>1012</v>
      </c>
      <c r="N68" s="2453" t="s">
        <v>1013</v>
      </c>
      <c r="P68" s="2191"/>
      <c r="Q68" s="2191"/>
      <c r="R68" s="2192"/>
      <c r="S68" s="2192"/>
      <c r="T68" s="2192"/>
      <c r="U68" s="2192"/>
      <c r="V68" s="2192"/>
      <c r="W68" s="2191"/>
      <c r="X68" s="2191"/>
      <c r="Y68" s="2191"/>
      <c r="Z68" s="2191"/>
      <c r="AA68" s="2191"/>
      <c r="AB68" s="2191"/>
      <c r="AC68" s="2191"/>
      <c r="AD68" s="2192"/>
      <c r="AE68" s="1398"/>
      <c r="AF68" s="1398"/>
      <c r="AG68" s="1398"/>
      <c r="AH68" s="1398"/>
      <c r="AI68" s="1398"/>
      <c r="AJ68" s="1398"/>
      <c r="AK68" s="1398"/>
      <c r="AL68" s="1398"/>
      <c r="AM68" s="1398"/>
      <c r="AN68" s="1398"/>
    </row>
    <row r="69" spans="1:40" s="1397" customFormat="1" ht="72">
      <c r="A69" s="1062" t="s">
        <v>1026</v>
      </c>
      <c r="B69" s="2430" t="str">
        <f>估价对象房地状况!C15</f>
        <v>估价对象周边居住用地比例较高、居住小区规模和社区发展完善程度较好，有丰盛园、长城公寓、天津公馆等项目，综合评价居住社区成熟度较好</v>
      </c>
      <c r="C69" s="1154"/>
      <c r="D69" s="2436">
        <f t="shared" ref="D69:D77" si="20">SUMIF($J$68:$N$68,C69,J69:N69)</f>
        <v>0</v>
      </c>
      <c r="E69" s="2455">
        <f>ROUND(SUM(D69:D77),4)</f>
        <v>0</v>
      </c>
      <c r="F69" s="2456" t="str">
        <f>IF(E2="住宅",SUMIF(L1:L12,G2,N1:N12),"——")</f>
        <v>——</v>
      </c>
      <c r="G69" s="2437"/>
      <c r="H69" s="2481" t="str">
        <f t="shared" ref="H69:H77" si="21">IFERROR(ROUNDDOWN($F$69*I69/2,4),"——")</f>
        <v>——</v>
      </c>
      <c r="I69" s="2454">
        <v>0.14000000000000001</v>
      </c>
      <c r="J69" s="2457">
        <f t="shared" ref="J69:J77" si="22">K69+$G69</f>
        <v>0</v>
      </c>
      <c r="K69" s="2457">
        <f t="shared" ref="K69:K77" si="23">$L69+$G69</f>
        <v>0</v>
      </c>
      <c r="L69" s="2457">
        <v>0</v>
      </c>
      <c r="M69" s="2457">
        <f t="shared" ref="M69:N77" si="24">L69-$G69</f>
        <v>0</v>
      </c>
      <c r="N69" s="2457">
        <f t="shared" si="24"/>
        <v>0</v>
      </c>
      <c r="P69" s="2191"/>
      <c r="Q69" s="2191"/>
      <c r="R69" s="2192"/>
      <c r="S69" s="2192"/>
      <c r="T69" s="2192"/>
      <c r="U69" s="2192"/>
      <c r="V69" s="2192"/>
      <c r="W69" s="2191"/>
      <c r="X69" s="2191"/>
      <c r="Y69" s="2191"/>
      <c r="Z69" s="2191"/>
      <c r="AA69" s="2191"/>
      <c r="AB69" s="2191"/>
      <c r="AC69" s="2191"/>
      <c r="AD69" s="2192"/>
      <c r="AE69" s="1398"/>
      <c r="AF69" s="1398"/>
      <c r="AG69" s="1398"/>
      <c r="AH69" s="1398"/>
      <c r="AI69" s="1398"/>
      <c r="AJ69" s="1398"/>
      <c r="AK69" s="1398"/>
      <c r="AL69" s="1398"/>
      <c r="AM69" s="1398"/>
      <c r="AN69" s="1398"/>
    </row>
    <row r="70" spans="1:40" s="1397" customFormat="1" ht="72">
      <c r="A70" s="1062" t="s">
        <v>1027</v>
      </c>
      <c r="B70" s="2427" t="str">
        <f>估价对象房地状况!C18</f>
        <v>估价对象周边1公里有92、840路等公交车及地铁1、9号线经过，公共交通通达情况较好、停车便捷程度较好，综合评价交通便捷度较好</v>
      </c>
      <c r="C70" s="1154"/>
      <c r="D70" s="2436">
        <f t="shared" si="20"/>
        <v>0</v>
      </c>
      <c r="E70" s="2464"/>
      <c r="F70" s="2465"/>
      <c r="G70" s="2437"/>
      <c r="H70" s="2481" t="str">
        <f t="shared" si="21"/>
        <v>——</v>
      </c>
      <c r="I70" s="2454">
        <v>0.3</v>
      </c>
      <c r="J70" s="2457">
        <f t="shared" si="22"/>
        <v>0</v>
      </c>
      <c r="K70" s="2457">
        <f t="shared" si="23"/>
        <v>0</v>
      </c>
      <c r="L70" s="2457">
        <v>0</v>
      </c>
      <c r="M70" s="2457">
        <f t="shared" si="24"/>
        <v>0</v>
      </c>
      <c r="N70" s="2457">
        <f t="shared" si="24"/>
        <v>0</v>
      </c>
      <c r="P70" s="2191"/>
      <c r="Q70" s="2191"/>
      <c r="R70" s="2192"/>
      <c r="S70" s="2192"/>
      <c r="T70" s="2192"/>
      <c r="U70" s="2192"/>
      <c r="V70" s="2192"/>
      <c r="W70" s="2191"/>
      <c r="X70" s="2191"/>
      <c r="Y70" s="2191"/>
      <c r="Z70" s="2191"/>
      <c r="AA70" s="2191"/>
      <c r="AB70" s="2191"/>
      <c r="AC70" s="2191"/>
      <c r="AD70" s="2192"/>
      <c r="AE70" s="1398"/>
      <c r="AF70" s="1398"/>
      <c r="AG70" s="1398"/>
      <c r="AH70" s="1398"/>
      <c r="AI70" s="1398"/>
      <c r="AJ70" s="1398"/>
      <c r="AK70" s="1398"/>
      <c r="AL70" s="1398"/>
      <c r="AM70" s="1398"/>
      <c r="AN70" s="1398"/>
    </row>
    <row r="71" spans="1:40" s="1397" customFormat="1" ht="24">
      <c r="A71" s="1062" t="s">
        <v>1016</v>
      </c>
      <c r="B71" s="2427" t="str">
        <f>估价对象房地状况!C19</f>
        <v>零星有其他用地，基本不影响本宗地</v>
      </c>
      <c r="C71" s="1154"/>
      <c r="D71" s="2436">
        <f t="shared" si="20"/>
        <v>0</v>
      </c>
      <c r="E71" s="2464"/>
      <c r="F71" s="2465"/>
      <c r="G71" s="2437"/>
      <c r="H71" s="2481" t="str">
        <f t="shared" si="21"/>
        <v>——</v>
      </c>
      <c r="I71" s="2454">
        <v>0.08</v>
      </c>
      <c r="J71" s="2457">
        <f t="shared" si="22"/>
        <v>0</v>
      </c>
      <c r="K71" s="2457">
        <f t="shared" si="23"/>
        <v>0</v>
      </c>
      <c r="L71" s="2457">
        <v>0</v>
      </c>
      <c r="M71" s="2457">
        <f t="shared" si="24"/>
        <v>0</v>
      </c>
      <c r="N71" s="2457">
        <f t="shared" si="24"/>
        <v>0</v>
      </c>
      <c r="P71" s="2191"/>
      <c r="Q71" s="2191"/>
      <c r="R71" s="2192"/>
      <c r="S71" s="2192"/>
      <c r="T71" s="2192"/>
      <c r="U71" s="2192"/>
      <c r="V71" s="2192"/>
      <c r="W71" s="2191"/>
      <c r="X71" s="2191"/>
      <c r="Y71" s="2191"/>
      <c r="Z71" s="2191"/>
      <c r="AA71" s="2191"/>
      <c r="AB71" s="2191"/>
      <c r="AC71" s="2191"/>
      <c r="AD71" s="2192"/>
      <c r="AE71" s="1398"/>
      <c r="AF71" s="1398"/>
      <c r="AG71" s="1398"/>
      <c r="AH71" s="1398"/>
      <c r="AI71" s="1398"/>
      <c r="AJ71" s="1398"/>
      <c r="AK71" s="1398"/>
      <c r="AL71" s="1398"/>
      <c r="AM71" s="1398"/>
      <c r="AN71" s="1398"/>
    </row>
    <row r="72" spans="1:40" s="1397" customFormat="1" ht="14.25">
      <c r="A72" s="1062" t="s">
        <v>1028</v>
      </c>
      <c r="B72" s="2427" t="str">
        <f>估价对象房地状况!C24</f>
        <v>城市次干道——海河东路</v>
      </c>
      <c r="C72" s="1154"/>
      <c r="D72" s="2436">
        <f t="shared" si="20"/>
        <v>0</v>
      </c>
      <c r="E72" s="2464"/>
      <c r="F72" s="2465"/>
      <c r="G72" s="2437"/>
      <c r="H72" s="2481" t="str">
        <f t="shared" si="21"/>
        <v>——</v>
      </c>
      <c r="I72" s="2454">
        <v>0.04</v>
      </c>
      <c r="J72" s="2457">
        <f t="shared" si="22"/>
        <v>0</v>
      </c>
      <c r="K72" s="2457">
        <f t="shared" si="23"/>
        <v>0</v>
      </c>
      <c r="L72" s="2457">
        <v>0</v>
      </c>
      <c r="M72" s="2457">
        <f t="shared" si="24"/>
        <v>0</v>
      </c>
      <c r="N72" s="2457">
        <f t="shared" si="24"/>
        <v>0</v>
      </c>
      <c r="P72" s="2191"/>
      <c r="Q72" s="2191"/>
      <c r="R72" s="2192"/>
      <c r="S72" s="2192"/>
      <c r="T72" s="2192"/>
      <c r="U72" s="2192"/>
      <c r="V72" s="2192"/>
      <c r="W72" s="2191"/>
      <c r="X72" s="2191"/>
      <c r="Y72" s="2191"/>
      <c r="Z72" s="2191"/>
      <c r="AA72" s="2191"/>
      <c r="AB72" s="2191"/>
      <c r="AC72" s="2191"/>
      <c r="AD72" s="2192"/>
      <c r="AE72" s="1398"/>
      <c r="AF72" s="1398"/>
      <c r="AG72" s="1398"/>
      <c r="AH72" s="1398"/>
      <c r="AI72" s="1398"/>
      <c r="AJ72" s="1398"/>
      <c r="AK72" s="1398"/>
      <c r="AL72" s="1398"/>
      <c r="AM72" s="1398"/>
      <c r="AN72" s="1398"/>
    </row>
    <row r="73" spans="1:40" s="1397" customFormat="1" ht="24">
      <c r="A73" s="1062" t="s">
        <v>1020</v>
      </c>
      <c r="B73" s="2428" t="str">
        <f>估价对象房地状况!C21</f>
        <v>估价对象所在区域公共配套设施齐备情况一般</v>
      </c>
      <c r="C73" s="1154"/>
      <c r="D73" s="2436">
        <f t="shared" si="20"/>
        <v>0</v>
      </c>
      <c r="E73" s="2464"/>
      <c r="F73" s="2465"/>
      <c r="G73" s="2437"/>
      <c r="H73" s="2481" t="str">
        <f t="shared" si="21"/>
        <v>——</v>
      </c>
      <c r="I73" s="2454">
        <v>0.08</v>
      </c>
      <c r="J73" s="2457">
        <f t="shared" si="22"/>
        <v>0</v>
      </c>
      <c r="K73" s="2457">
        <f t="shared" si="23"/>
        <v>0</v>
      </c>
      <c r="L73" s="2457">
        <v>0</v>
      </c>
      <c r="M73" s="2457">
        <f t="shared" si="24"/>
        <v>0</v>
      </c>
      <c r="N73" s="2457">
        <f t="shared" si="24"/>
        <v>0</v>
      </c>
      <c r="P73" s="2191"/>
      <c r="Q73" s="2191"/>
      <c r="R73" s="2192"/>
      <c r="S73" s="2192"/>
      <c r="T73" s="2192"/>
      <c r="U73" s="2192"/>
      <c r="V73" s="2192"/>
      <c r="W73" s="2191"/>
      <c r="X73" s="2191"/>
      <c r="Y73" s="2191"/>
      <c r="Z73" s="2191"/>
      <c r="AA73" s="2191"/>
      <c r="AB73" s="2191"/>
      <c r="AC73" s="2191"/>
      <c r="AD73" s="2192"/>
      <c r="AE73" s="1398"/>
      <c r="AF73" s="1398"/>
      <c r="AG73" s="1398"/>
      <c r="AH73" s="1398"/>
      <c r="AI73" s="1398"/>
      <c r="AJ73" s="1398"/>
      <c r="AK73" s="1398"/>
      <c r="AL73" s="1398"/>
      <c r="AM73" s="1398"/>
      <c r="AN73" s="1398"/>
    </row>
    <row r="74" spans="1:40" s="1397" customFormat="1" ht="24">
      <c r="A74" s="1062" t="s">
        <v>1021</v>
      </c>
      <c r="B74" s="2428" t="str">
        <f>估价对象房地状况!C22</f>
        <v>估价对象所在区域基础设施水平-六通</v>
      </c>
      <c r="C74" s="1154"/>
      <c r="D74" s="2436">
        <f t="shared" si="20"/>
        <v>0</v>
      </c>
      <c r="E74" s="2464"/>
      <c r="F74" s="2465"/>
      <c r="G74" s="2437"/>
      <c r="H74" s="2481" t="str">
        <f t="shared" si="21"/>
        <v>——</v>
      </c>
      <c r="I74" s="2454">
        <v>0.12</v>
      </c>
      <c r="J74" s="2457">
        <f t="shared" si="22"/>
        <v>0</v>
      </c>
      <c r="K74" s="2457">
        <f t="shared" si="23"/>
        <v>0</v>
      </c>
      <c r="L74" s="2457">
        <v>0</v>
      </c>
      <c r="M74" s="2457">
        <f t="shared" si="24"/>
        <v>0</v>
      </c>
      <c r="N74" s="2457">
        <f t="shared" si="24"/>
        <v>0</v>
      </c>
      <c r="P74" s="2191"/>
      <c r="Q74" s="2191"/>
      <c r="R74" s="2192"/>
      <c r="S74" s="2192"/>
      <c r="T74" s="2192"/>
      <c r="U74" s="2192"/>
      <c r="V74" s="2192"/>
      <c r="W74" s="2191"/>
      <c r="X74" s="2191"/>
      <c r="Y74" s="2191"/>
      <c r="Z74" s="2191"/>
      <c r="AA74" s="2191"/>
      <c r="AB74" s="2191"/>
      <c r="AC74" s="2191"/>
      <c r="AD74" s="2192"/>
      <c r="AE74" s="1398"/>
      <c r="AF74" s="1398"/>
      <c r="AG74" s="1398"/>
      <c r="AH74" s="1398"/>
      <c r="AI74" s="1398"/>
      <c r="AJ74" s="1398"/>
      <c r="AK74" s="1398"/>
      <c r="AL74" s="1398"/>
      <c r="AM74" s="1398"/>
      <c r="AN74" s="1398"/>
    </row>
    <row r="75" spans="1:40" s="1397" customFormat="1" ht="24">
      <c r="A75" s="1062" t="s">
        <v>1019</v>
      </c>
      <c r="B75" s="3113" t="s">
        <v>2932</v>
      </c>
      <c r="C75" s="1154"/>
      <c r="D75" s="2436">
        <f t="shared" si="20"/>
        <v>0</v>
      </c>
      <c r="E75" s="2464"/>
      <c r="F75" s="2465"/>
      <c r="G75" s="2437"/>
      <c r="H75" s="2481" t="str">
        <f t="shared" si="21"/>
        <v>——</v>
      </c>
      <c r="I75" s="2454">
        <v>0.05</v>
      </c>
      <c r="J75" s="2457">
        <f t="shared" si="22"/>
        <v>0</v>
      </c>
      <c r="K75" s="2457">
        <f t="shared" si="23"/>
        <v>0</v>
      </c>
      <c r="L75" s="2457">
        <v>0</v>
      </c>
      <c r="M75" s="2457">
        <f t="shared" si="24"/>
        <v>0</v>
      </c>
      <c r="N75" s="2457">
        <f t="shared" si="24"/>
        <v>0</v>
      </c>
      <c r="P75" s="2191"/>
      <c r="Q75" s="2191"/>
      <c r="R75" s="2192"/>
      <c r="S75" s="2192"/>
      <c r="T75" s="2192"/>
      <c r="U75" s="2192"/>
      <c r="V75" s="2192"/>
      <c r="W75" s="2191"/>
      <c r="X75" s="2191"/>
      <c r="Y75" s="2191"/>
      <c r="Z75" s="2191"/>
      <c r="AA75" s="2191"/>
      <c r="AB75" s="2191"/>
      <c r="AC75" s="2191"/>
      <c r="AD75" s="2192"/>
      <c r="AE75" s="1398"/>
      <c r="AF75" s="1398"/>
      <c r="AG75" s="1398"/>
      <c r="AH75" s="1398"/>
      <c r="AI75" s="1398"/>
      <c r="AJ75" s="1398"/>
      <c r="AK75" s="1398"/>
      <c r="AL75" s="1398"/>
      <c r="AM75" s="1398"/>
      <c r="AN75" s="1398"/>
    </row>
    <row r="76" spans="1:40" ht="24">
      <c r="A76" s="1062" t="s">
        <v>1022</v>
      </c>
      <c r="B76" s="2430" t="str">
        <f>估价对象房地状况!C20</f>
        <v>周边2公里内区域自然环境较好</v>
      </c>
      <c r="C76" s="1154"/>
      <c r="D76" s="2436">
        <f t="shared" si="20"/>
        <v>0</v>
      </c>
      <c r="E76" s="2464"/>
      <c r="F76" s="2465"/>
      <c r="G76" s="2437"/>
      <c r="H76" s="2481" t="str">
        <f t="shared" si="21"/>
        <v>——</v>
      </c>
      <c r="I76" s="2454">
        <v>0.15</v>
      </c>
      <c r="J76" s="2457">
        <f t="shared" si="22"/>
        <v>0</v>
      </c>
      <c r="K76" s="2457">
        <f t="shared" si="23"/>
        <v>0</v>
      </c>
      <c r="L76" s="2457">
        <v>0</v>
      </c>
      <c r="M76" s="2457">
        <f t="shared" si="24"/>
        <v>0</v>
      </c>
      <c r="N76" s="2457">
        <f t="shared" si="24"/>
        <v>0</v>
      </c>
      <c r="P76" s="2194"/>
      <c r="Q76" s="2194"/>
      <c r="R76" s="2195"/>
      <c r="S76" s="2195"/>
      <c r="T76" s="2195"/>
      <c r="U76" s="2195"/>
      <c r="V76" s="2195"/>
      <c r="W76" s="2194"/>
      <c r="X76" s="2194"/>
      <c r="Y76" s="2194"/>
      <c r="Z76" s="2194"/>
      <c r="AA76" s="2194"/>
      <c r="AB76" s="2194"/>
      <c r="AC76" s="2194"/>
      <c r="AD76" s="2195"/>
      <c r="AJ76" s="1398"/>
      <c r="AN76" s="1399"/>
    </row>
    <row r="77" spans="1:40" ht="24.75" thickBot="1">
      <c r="A77" s="2460" t="s">
        <v>1029</v>
      </c>
      <c r="B77" s="1845"/>
      <c r="C77" s="1154"/>
      <c r="D77" s="2436">
        <f t="shared" si="20"/>
        <v>0</v>
      </c>
      <c r="E77" s="2466"/>
      <c r="F77" s="2465"/>
      <c r="G77" s="2437"/>
      <c r="H77" s="2481" t="str">
        <f t="shared" si="21"/>
        <v>——</v>
      </c>
      <c r="I77" s="2461">
        <v>0.04</v>
      </c>
      <c r="J77" s="2457">
        <f t="shared" si="22"/>
        <v>0</v>
      </c>
      <c r="K77" s="2457">
        <f t="shared" si="23"/>
        <v>0</v>
      </c>
      <c r="L77" s="2457">
        <v>0</v>
      </c>
      <c r="M77" s="2457">
        <f t="shared" si="24"/>
        <v>0</v>
      </c>
      <c r="N77" s="2457">
        <f t="shared" si="24"/>
        <v>0</v>
      </c>
      <c r="AC77" s="1400"/>
      <c r="AD77" s="1399"/>
      <c r="AJ77" s="1398"/>
      <c r="AN77" s="1399"/>
    </row>
    <row r="78" spans="1:40" ht="15">
      <c r="A78" s="2443" t="s">
        <v>1030</v>
      </c>
      <c r="B78" s="2444">
        <f>1+E80</f>
        <v>1</v>
      </c>
      <c r="C78" s="2463"/>
      <c r="D78" s="2446"/>
      <c r="E78" s="2447"/>
      <c r="F78" s="2448"/>
      <c r="G78" s="2442"/>
      <c r="H78" s="2442"/>
      <c r="I78" s="2442"/>
      <c r="J78" s="1061"/>
      <c r="K78" s="1061"/>
      <c r="L78" s="1061"/>
      <c r="M78" s="1061"/>
      <c r="N78" s="1061"/>
      <c r="AC78" s="1400"/>
      <c r="AD78" s="1399"/>
      <c r="AJ78" s="1398"/>
      <c r="AN78" s="1399"/>
    </row>
    <row r="79" spans="1:40" ht="24">
      <c r="A79" s="1062" t="s">
        <v>1002</v>
      </c>
      <c r="B79" s="2427"/>
      <c r="C79" s="2449" t="s">
        <v>1004</v>
      </c>
      <c r="D79" s="2450" t="s">
        <v>1005</v>
      </c>
      <c r="E79" s="2451" t="s">
        <v>1007</v>
      </c>
      <c r="F79" s="2452" t="s">
        <v>2248</v>
      </c>
      <c r="G79" s="2450" t="s">
        <v>1008</v>
      </c>
      <c r="H79" s="2433" t="s">
        <v>2413</v>
      </c>
      <c r="I79" s="2450" t="s">
        <v>1006</v>
      </c>
      <c r="J79" s="2453" t="s">
        <v>1009</v>
      </c>
      <c r="K79" s="2453" t="s">
        <v>1010</v>
      </c>
      <c r="L79" s="2453" t="s">
        <v>1011</v>
      </c>
      <c r="M79" s="2453" t="s">
        <v>1012</v>
      </c>
      <c r="N79" s="2453" t="s">
        <v>1013</v>
      </c>
      <c r="AC79" s="1400"/>
      <c r="AD79" s="1399"/>
      <c r="AJ79" s="1398"/>
      <c r="AN79" s="1399"/>
    </row>
    <row r="80" spans="1:40" ht="36">
      <c r="A80" s="1062" t="s">
        <v>1031</v>
      </c>
      <c r="B80" s="2427" t="str">
        <f>估价对象房地状况!G15</f>
        <v>估价对象位于XX开发区，园区建设成熟度XX，产业集聚程度XX</v>
      </c>
      <c r="C80" s="1045"/>
      <c r="D80" s="2436">
        <f t="shared" ref="D80:D87" si="25">SUMIF($J$79:$N$79,C80,J80:N80)</f>
        <v>0</v>
      </c>
      <c r="E80" s="2455">
        <f>ROUND(SUM(D80:D87),4)</f>
        <v>0</v>
      </c>
      <c r="F80" s="2456" t="str">
        <f>IF(E2="工业",SUMIF(L1:L12,G2,N1:N12),"——")</f>
        <v>——</v>
      </c>
      <c r="G80" s="2434"/>
      <c r="H80" s="2480" t="str">
        <f t="shared" ref="H80:H87" si="26">IFERROR(ROUNDDOWN($F$80*I80/2,4),"——")</f>
        <v>——</v>
      </c>
      <c r="I80" s="2454">
        <v>0.26</v>
      </c>
      <c r="J80" s="2457">
        <f t="shared" ref="J80:J87" si="27">K80+$G80</f>
        <v>0</v>
      </c>
      <c r="K80" s="2457">
        <f t="shared" ref="K80:K87" si="28">$L80+$G80</f>
        <v>0</v>
      </c>
      <c r="L80" s="2457">
        <v>0</v>
      </c>
      <c r="M80" s="2457">
        <f t="shared" ref="M80:N87" si="29">L80-$G80</f>
        <v>0</v>
      </c>
      <c r="N80" s="2457">
        <f t="shared" si="29"/>
        <v>0</v>
      </c>
      <c r="AC80" s="1400"/>
      <c r="AD80" s="1399"/>
      <c r="AJ80" s="1398"/>
      <c r="AN80" s="1399"/>
    </row>
    <row r="81" spans="1:40" ht="48">
      <c r="A81" s="1062" t="s">
        <v>1027</v>
      </c>
      <c r="B81" s="2427" t="str">
        <f>估价对象房地状况!G16</f>
        <v>估价对象周边道路状况、公共交通通达情况、停车便捷程度，综合评价交通便捷度较好</v>
      </c>
      <c r="C81" s="1045"/>
      <c r="D81" s="2436">
        <f t="shared" si="25"/>
        <v>0</v>
      </c>
      <c r="E81" s="2464"/>
      <c r="F81" s="2465"/>
      <c r="G81" s="2434"/>
      <c r="H81" s="2480" t="str">
        <f t="shared" si="26"/>
        <v>——</v>
      </c>
      <c r="I81" s="2454">
        <v>0.33</v>
      </c>
      <c r="J81" s="2457">
        <f t="shared" si="27"/>
        <v>0</v>
      </c>
      <c r="K81" s="2457">
        <f t="shared" si="28"/>
        <v>0</v>
      </c>
      <c r="L81" s="2457">
        <v>0</v>
      </c>
      <c r="M81" s="2457">
        <f t="shared" si="29"/>
        <v>0</v>
      </c>
      <c r="N81" s="2457">
        <f t="shared" si="29"/>
        <v>0</v>
      </c>
      <c r="AC81" s="1400"/>
      <c r="AD81" s="1399"/>
      <c r="AJ81" s="1398"/>
      <c r="AN81" s="1399"/>
    </row>
    <row r="82" spans="1:40" ht="24">
      <c r="A82" s="1062" t="s">
        <v>1016</v>
      </c>
      <c r="B82" s="2427">
        <f>估价对象房地状况!G17</f>
        <v>0</v>
      </c>
      <c r="C82" s="1045"/>
      <c r="D82" s="2436">
        <f t="shared" si="25"/>
        <v>0</v>
      </c>
      <c r="E82" s="2464"/>
      <c r="F82" s="2465"/>
      <c r="G82" s="2434"/>
      <c r="H82" s="2480" t="str">
        <f t="shared" si="26"/>
        <v>——</v>
      </c>
      <c r="I82" s="2454">
        <v>0.05</v>
      </c>
      <c r="J82" s="2457">
        <f t="shared" si="27"/>
        <v>0</v>
      </c>
      <c r="K82" s="2457">
        <f t="shared" si="28"/>
        <v>0</v>
      </c>
      <c r="L82" s="2457">
        <v>0</v>
      </c>
      <c r="M82" s="2457">
        <f t="shared" si="29"/>
        <v>0</v>
      </c>
      <c r="N82" s="2457">
        <f t="shared" si="29"/>
        <v>0</v>
      </c>
      <c r="AC82" s="1400"/>
      <c r="AD82" s="1399"/>
      <c r="AJ82" s="1398"/>
      <c r="AN82" s="1399"/>
    </row>
    <row r="83" spans="1:40" ht="14.25">
      <c r="A83" s="1062" t="s">
        <v>1028</v>
      </c>
      <c r="B83" s="2427">
        <f>估价对象房地状况!G22</f>
        <v>0</v>
      </c>
      <c r="C83" s="1045"/>
      <c r="D83" s="2436">
        <f t="shared" si="25"/>
        <v>0</v>
      </c>
      <c r="E83" s="2464"/>
      <c r="F83" s="2465"/>
      <c r="G83" s="2434"/>
      <c r="H83" s="2480" t="str">
        <f t="shared" si="26"/>
        <v>——</v>
      </c>
      <c r="I83" s="2454">
        <v>0.04</v>
      </c>
      <c r="J83" s="2457">
        <f t="shared" si="27"/>
        <v>0</v>
      </c>
      <c r="K83" s="2457">
        <f t="shared" si="28"/>
        <v>0</v>
      </c>
      <c r="L83" s="2457">
        <v>0</v>
      </c>
      <c r="M83" s="2457">
        <f t="shared" si="29"/>
        <v>0</v>
      </c>
      <c r="N83" s="2457">
        <f t="shared" si="29"/>
        <v>0</v>
      </c>
      <c r="AC83" s="1400"/>
      <c r="AD83" s="1399"/>
      <c r="AJ83" s="1398"/>
      <c r="AN83" s="1399"/>
    </row>
    <row r="84" spans="1:40" ht="24">
      <c r="A84" s="1062" t="s">
        <v>1020</v>
      </c>
      <c r="B84" s="2428" t="str">
        <f>估价对象房地状况!G19</f>
        <v>估价对象所在区域公共配套设施齐备情况</v>
      </c>
      <c r="C84" s="1045"/>
      <c r="D84" s="2436">
        <f t="shared" si="25"/>
        <v>0</v>
      </c>
      <c r="E84" s="2464"/>
      <c r="F84" s="2465"/>
      <c r="G84" s="2434"/>
      <c r="H84" s="2480" t="str">
        <f t="shared" si="26"/>
        <v>——</v>
      </c>
      <c r="I84" s="2454">
        <v>0.06</v>
      </c>
      <c r="J84" s="2457">
        <f t="shared" si="27"/>
        <v>0</v>
      </c>
      <c r="K84" s="2457">
        <f t="shared" si="28"/>
        <v>0</v>
      </c>
      <c r="L84" s="2457">
        <v>0</v>
      </c>
      <c r="M84" s="2457">
        <f t="shared" si="29"/>
        <v>0</v>
      </c>
      <c r="N84" s="2457">
        <f t="shared" si="29"/>
        <v>0</v>
      </c>
      <c r="AC84" s="1400"/>
      <c r="AD84" s="1399"/>
      <c r="AJ84" s="1398"/>
      <c r="AN84" s="1399"/>
    </row>
    <row r="85" spans="1:40" ht="24">
      <c r="A85" s="1062" t="s">
        <v>1021</v>
      </c>
      <c r="B85" s="2428" t="str">
        <f>估价对象房地状况!G20</f>
        <v>估价对象所在区域基础设施水平</v>
      </c>
      <c r="C85" s="1045"/>
      <c r="D85" s="2436">
        <f t="shared" si="25"/>
        <v>0</v>
      </c>
      <c r="E85" s="2464"/>
      <c r="F85" s="2465"/>
      <c r="G85" s="2434"/>
      <c r="H85" s="2480" t="str">
        <f t="shared" si="26"/>
        <v>——</v>
      </c>
      <c r="I85" s="2454">
        <v>0.15</v>
      </c>
      <c r="J85" s="2457">
        <f t="shared" si="27"/>
        <v>0</v>
      </c>
      <c r="K85" s="2457">
        <f t="shared" si="28"/>
        <v>0</v>
      </c>
      <c r="L85" s="2457">
        <v>0</v>
      </c>
      <c r="M85" s="2457">
        <f t="shared" si="29"/>
        <v>0</v>
      </c>
      <c r="N85" s="2457">
        <f t="shared" si="29"/>
        <v>0</v>
      </c>
      <c r="AC85" s="1400"/>
      <c r="AD85" s="1399"/>
      <c r="AJ85" s="1398"/>
      <c r="AN85" s="1399"/>
    </row>
    <row r="86" spans="1:40" ht="24">
      <c r="A86" s="1062" t="s">
        <v>1019</v>
      </c>
      <c r="B86" s="3113" t="s">
        <v>2932</v>
      </c>
      <c r="C86" s="1045"/>
      <c r="D86" s="2436">
        <f t="shared" si="25"/>
        <v>0</v>
      </c>
      <c r="E86" s="2464"/>
      <c r="F86" s="2465"/>
      <c r="G86" s="2434"/>
      <c r="H86" s="2480" t="str">
        <f t="shared" si="26"/>
        <v>——</v>
      </c>
      <c r="I86" s="2454">
        <v>0.05</v>
      </c>
      <c r="J86" s="2457">
        <f t="shared" si="27"/>
        <v>0</v>
      </c>
      <c r="K86" s="2457">
        <f t="shared" si="28"/>
        <v>0</v>
      </c>
      <c r="L86" s="2457">
        <v>0</v>
      </c>
      <c r="M86" s="2457">
        <f t="shared" si="29"/>
        <v>0</v>
      </c>
      <c r="N86" s="2457">
        <f t="shared" si="29"/>
        <v>0</v>
      </c>
      <c r="AC86" s="1400"/>
      <c r="AD86" s="1399"/>
      <c r="AJ86" s="1398"/>
      <c r="AN86" s="1399"/>
    </row>
    <row r="87" spans="1:40" ht="36.75" thickBot="1">
      <c r="A87" s="2460" t="s">
        <v>1032</v>
      </c>
      <c r="B87" s="2429" t="str">
        <f>估价对象房地状况!G18</f>
        <v>该园区内是否有污染型企业，绿化情况，卫生条件，整体环境状况判断</v>
      </c>
      <c r="C87" s="1045"/>
      <c r="D87" s="2436">
        <f t="shared" si="25"/>
        <v>0</v>
      </c>
      <c r="E87" s="2466"/>
      <c r="F87" s="2465"/>
      <c r="G87" s="2434"/>
      <c r="H87" s="2480" t="str">
        <f t="shared" si="26"/>
        <v>——</v>
      </c>
      <c r="I87" s="2461">
        <v>0.06</v>
      </c>
      <c r="J87" s="2457">
        <f t="shared" si="27"/>
        <v>0</v>
      </c>
      <c r="K87" s="2457">
        <f t="shared" si="28"/>
        <v>0</v>
      </c>
      <c r="L87" s="2457">
        <v>0</v>
      </c>
      <c r="M87" s="2457">
        <f t="shared" si="29"/>
        <v>0</v>
      </c>
      <c r="N87" s="2457">
        <f t="shared" si="29"/>
        <v>0</v>
      </c>
      <c r="AC87" s="1400"/>
      <c r="AD87" s="1399"/>
      <c r="AJ87" s="1398"/>
      <c r="AN87" s="1399"/>
    </row>
    <row r="90" spans="1:40">
      <c r="A90" s="3504" t="s">
        <v>1627</v>
      </c>
      <c r="B90" s="3504"/>
      <c r="C90" s="3504"/>
      <c r="D90" s="3504"/>
      <c r="E90" s="3504"/>
      <c r="F90" s="3504"/>
      <c r="G90" s="3504"/>
      <c r="H90" s="3504"/>
      <c r="I90" s="3504"/>
      <c r="J90" s="3504"/>
      <c r="K90" s="2469"/>
      <c r="L90" s="2469"/>
      <c r="M90" s="2469"/>
      <c r="N90" s="2469"/>
    </row>
    <row r="91" spans="1:40">
      <c r="A91" s="3505" t="s">
        <v>1437</v>
      </c>
      <c r="B91" s="3505" t="s">
        <v>1628</v>
      </c>
      <c r="C91" s="1135" t="s">
        <v>1629</v>
      </c>
      <c r="D91" s="1136"/>
      <c r="E91" s="1136"/>
      <c r="F91" s="1136"/>
      <c r="G91" s="1136"/>
      <c r="H91" s="1136"/>
      <c r="I91" s="1136"/>
      <c r="J91" s="1137"/>
      <c r="K91" s="1129"/>
      <c r="L91" s="1129"/>
      <c r="M91" s="1129"/>
      <c r="N91" s="1129"/>
    </row>
    <row r="92" spans="1:40">
      <c r="A92" s="3505"/>
      <c r="B92" s="3505"/>
      <c r="C92" s="2468" t="s">
        <v>900</v>
      </c>
      <c r="D92" s="2468" t="s">
        <v>878</v>
      </c>
      <c r="E92" s="2468" t="s">
        <v>879</v>
      </c>
      <c r="F92" s="2468" t="s">
        <v>903</v>
      </c>
      <c r="G92" s="2468" t="s">
        <v>881</v>
      </c>
      <c r="H92" s="2468" t="s">
        <v>882</v>
      </c>
      <c r="I92" s="2468" t="s">
        <v>883</v>
      </c>
      <c r="J92" s="2468" t="s">
        <v>884</v>
      </c>
      <c r="K92" s="2468" t="s">
        <v>908</v>
      </c>
      <c r="L92" s="2468" t="s">
        <v>886</v>
      </c>
      <c r="M92" s="2468" t="s">
        <v>887</v>
      </c>
      <c r="N92" s="2468" t="s">
        <v>911</v>
      </c>
    </row>
    <row r="93" spans="1:40">
      <c r="A93" s="3512" t="s">
        <v>2763</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513"/>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513"/>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513"/>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513"/>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513"/>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513"/>
      <c r="B99" s="1138" t="s">
        <v>1630</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514"/>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512" t="s">
        <v>1631</v>
      </c>
      <c r="B101" s="1142" t="s">
        <v>899</v>
      </c>
      <c r="C101" s="1143">
        <f>$G$3</f>
        <v>2.3199999999999998</v>
      </c>
      <c r="D101" s="1143">
        <f t="shared" ref="D101:N101" si="31">$G$3</f>
        <v>2.3199999999999998</v>
      </c>
      <c r="E101" s="1143">
        <f t="shared" si="31"/>
        <v>2.3199999999999998</v>
      </c>
      <c r="F101" s="1143">
        <f t="shared" si="31"/>
        <v>2.3199999999999998</v>
      </c>
      <c r="G101" s="1143">
        <f t="shared" si="31"/>
        <v>2.3199999999999998</v>
      </c>
      <c r="H101" s="1143">
        <f t="shared" si="31"/>
        <v>2.3199999999999998</v>
      </c>
      <c r="I101" s="1143">
        <f t="shared" si="31"/>
        <v>2.3199999999999998</v>
      </c>
      <c r="J101" s="1143">
        <f t="shared" si="31"/>
        <v>2.3199999999999998</v>
      </c>
      <c r="K101" s="1143">
        <f t="shared" si="31"/>
        <v>2.3199999999999998</v>
      </c>
      <c r="L101" s="1143">
        <f t="shared" si="31"/>
        <v>2.3199999999999998</v>
      </c>
      <c r="M101" s="1143">
        <f t="shared" si="31"/>
        <v>2.3199999999999998</v>
      </c>
      <c r="N101" s="1143">
        <f t="shared" si="31"/>
        <v>2.3199999999999998</v>
      </c>
    </row>
    <row r="102" spans="1:14">
      <c r="A102" s="3513"/>
      <c r="B102" s="1138">
        <v>1</v>
      </c>
      <c r="C102" s="1139">
        <f>1.9362/C101</f>
        <v>0.83456896551724136</v>
      </c>
      <c r="D102" s="1139">
        <f>1.9362/D101</f>
        <v>0.83456896551724136</v>
      </c>
      <c r="E102" s="1139">
        <f>1.8629/E101</f>
        <v>0.80297413793103456</v>
      </c>
      <c r="F102" s="1139">
        <f>1.8629/F101</f>
        <v>0.80297413793103456</v>
      </c>
      <c r="G102" s="1139">
        <f>1.8629/G101</f>
        <v>0.80297413793103456</v>
      </c>
      <c r="H102" s="1139">
        <f>1.8629/H101</f>
        <v>0.80297413793103456</v>
      </c>
      <c r="I102" s="1139">
        <f>1.8629/I101</f>
        <v>0.80297413793103456</v>
      </c>
      <c r="J102" s="1139">
        <f>1.942/J101</f>
        <v>0.83706896551724141</v>
      </c>
      <c r="K102" s="1139">
        <f>1.942/K101</f>
        <v>0.83706896551724141</v>
      </c>
      <c r="L102" s="1139">
        <f>1.942/L101</f>
        <v>0.83706896551724141</v>
      </c>
      <c r="M102" s="1139">
        <f>1.942/M101</f>
        <v>0.83706896551724141</v>
      </c>
      <c r="N102" s="1139">
        <f>1.942/N101</f>
        <v>0.83706896551724141</v>
      </c>
    </row>
    <row r="103" spans="1:14">
      <c r="A103" s="3513"/>
      <c r="B103" s="1138">
        <v>2</v>
      </c>
      <c r="C103" s="1139">
        <f>1.4198/C101</f>
        <v>0.61198275862068963</v>
      </c>
      <c r="D103" s="1139">
        <f>1.4198/D101</f>
        <v>0.61198275862068963</v>
      </c>
      <c r="E103" s="1139">
        <f>1.3372/E101</f>
        <v>0.57637931034482759</v>
      </c>
      <c r="F103" s="1139">
        <f>1.3372/F101</f>
        <v>0.57637931034482759</v>
      </c>
      <c r="G103" s="1139">
        <f>1.3372/G101</f>
        <v>0.57637931034482759</v>
      </c>
      <c r="H103" s="1139">
        <f>1.3372/H101</f>
        <v>0.57637931034482759</v>
      </c>
      <c r="I103" s="1139">
        <f>1.3372/I101</f>
        <v>0.57637931034482759</v>
      </c>
      <c r="J103" s="1139">
        <f>1.2799/J101</f>
        <v>0.55168103448275863</v>
      </c>
      <c r="K103" s="1139">
        <f>1.2799/K101</f>
        <v>0.55168103448275863</v>
      </c>
      <c r="L103" s="1139">
        <f>1.2799/L101</f>
        <v>0.55168103448275863</v>
      </c>
      <c r="M103" s="1139">
        <f>1.2799/M101</f>
        <v>0.55168103448275863</v>
      </c>
      <c r="N103" s="1139">
        <f>1.2799/N101</f>
        <v>0.55168103448275863</v>
      </c>
    </row>
    <row r="104" spans="1:14">
      <c r="A104" s="3513"/>
      <c r="B104" s="1138">
        <v>3</v>
      </c>
      <c r="C104" s="1139">
        <f>1.1594/C101</f>
        <v>0.49974137931034485</v>
      </c>
      <c r="D104" s="1139">
        <f>1.1594/D101</f>
        <v>0.49974137931034485</v>
      </c>
      <c r="E104" s="1139">
        <f>1.0788/E101</f>
        <v>0.46500000000000002</v>
      </c>
      <c r="F104" s="1139">
        <f>1.0788/F101</f>
        <v>0.46500000000000002</v>
      </c>
      <c r="G104" s="1139">
        <f>1.0788/G101</f>
        <v>0.46500000000000002</v>
      </c>
      <c r="H104" s="1139">
        <f>1.0788/H101</f>
        <v>0.46500000000000002</v>
      </c>
      <c r="I104" s="1139">
        <f>1.0788/I101</f>
        <v>0.46500000000000002</v>
      </c>
      <c r="J104" s="1139">
        <f>1.0072/J101</f>
        <v>0.43413793103448284</v>
      </c>
      <c r="K104" s="1139">
        <f>1.0072/K101</f>
        <v>0.43413793103448284</v>
      </c>
      <c r="L104" s="1139">
        <f>1.0072/L101</f>
        <v>0.43413793103448284</v>
      </c>
      <c r="M104" s="1139">
        <f>1.0072/M101</f>
        <v>0.43413793103448284</v>
      </c>
      <c r="N104" s="1139">
        <f>1.0072/N101</f>
        <v>0.43413793103448284</v>
      </c>
    </row>
    <row r="105" spans="1:14">
      <c r="A105" s="3513"/>
      <c r="B105" s="1138">
        <v>4</v>
      </c>
      <c r="C105" s="1139">
        <f>0.9622/C101</f>
        <v>0.41474137931034488</v>
      </c>
      <c r="D105" s="1139">
        <f>0.9622/D101</f>
        <v>0.41474137931034488</v>
      </c>
      <c r="E105" s="1139">
        <f>0.8656/E101</f>
        <v>0.37310344827586212</v>
      </c>
      <c r="F105" s="1139">
        <f>0.8656/F101</f>
        <v>0.37310344827586212</v>
      </c>
      <c r="G105" s="1139">
        <f>0.8656/G101</f>
        <v>0.37310344827586212</v>
      </c>
      <c r="H105" s="1139">
        <f>0.8656/H101</f>
        <v>0.37310344827586212</v>
      </c>
      <c r="I105" s="1139">
        <f>0.8656/I101</f>
        <v>0.37310344827586212</v>
      </c>
      <c r="J105" s="1139">
        <f>0.7525/J101</f>
        <v>0.32435344827586204</v>
      </c>
      <c r="K105" s="1139">
        <f>0.7525/K101</f>
        <v>0.32435344827586204</v>
      </c>
      <c r="L105" s="1139">
        <f>0.7525/L101</f>
        <v>0.32435344827586204</v>
      </c>
      <c r="M105" s="1139">
        <f>0.7525/M101</f>
        <v>0.32435344827586204</v>
      </c>
      <c r="N105" s="1139">
        <f>0.7525/N101</f>
        <v>0.32435344827586204</v>
      </c>
    </row>
    <row r="106" spans="1:14">
      <c r="A106" s="3513"/>
      <c r="B106" s="1138">
        <v>5</v>
      </c>
      <c r="C106" s="1139">
        <f>0.8417/C101</f>
        <v>0.36280172413793105</v>
      </c>
      <c r="D106" s="1139">
        <f>0.8417/D101</f>
        <v>0.36280172413793105</v>
      </c>
      <c r="E106" s="1139">
        <f>0.7371/E101</f>
        <v>0.31771551724137931</v>
      </c>
      <c r="F106" s="1139">
        <f>0.7371/F101</f>
        <v>0.31771551724137931</v>
      </c>
      <c r="G106" s="1139">
        <f>0.7371/G101</f>
        <v>0.31771551724137931</v>
      </c>
      <c r="H106" s="1139">
        <f>0.7371/H101</f>
        <v>0.31771551724137931</v>
      </c>
      <c r="I106" s="1139">
        <f>0.7371/I101</f>
        <v>0.31771551724137931</v>
      </c>
      <c r="J106" s="1139">
        <f>0.5659/J101</f>
        <v>0.24392241379310345</v>
      </c>
      <c r="K106" s="1139">
        <f>0.5659/K101</f>
        <v>0.24392241379310345</v>
      </c>
      <c r="L106" s="1139">
        <f>0.5659/L101</f>
        <v>0.24392241379310345</v>
      </c>
      <c r="M106" s="1139">
        <f>0.5659/M101</f>
        <v>0.24392241379310345</v>
      </c>
      <c r="N106" s="1139">
        <f>0.5659/N101</f>
        <v>0.24392241379310345</v>
      </c>
    </row>
    <row r="107" spans="1:14">
      <c r="A107" s="3513"/>
      <c r="B107" s="1138">
        <v>6</v>
      </c>
      <c r="C107" s="1139">
        <f>0.7608/C101</f>
        <v>0.32793103448275868</v>
      </c>
      <c r="D107" s="1139">
        <f>0.7608/D101</f>
        <v>0.32793103448275868</v>
      </c>
      <c r="E107" s="1139">
        <f>0.6482/E101</f>
        <v>0.27939655172413796</v>
      </c>
      <c r="F107" s="1139">
        <f>0.6482/F101</f>
        <v>0.27939655172413796</v>
      </c>
      <c r="G107" s="1139">
        <f>0.6482/G101</f>
        <v>0.27939655172413796</v>
      </c>
      <c r="H107" s="1139">
        <f>0.6482/H101</f>
        <v>0.27939655172413796</v>
      </c>
      <c r="I107" s="1139">
        <f>0.6482/I101</f>
        <v>0.27939655172413796</v>
      </c>
      <c r="J107" s="1139">
        <f>0.4525/J101</f>
        <v>0.19504310344827588</v>
      </c>
      <c r="K107" s="1139">
        <f>0.4525/K101</f>
        <v>0.19504310344827588</v>
      </c>
      <c r="L107" s="1139">
        <f>0.4525/L101</f>
        <v>0.19504310344827588</v>
      </c>
      <c r="M107" s="1139">
        <f>0.4525/M101</f>
        <v>0.19504310344827588</v>
      </c>
      <c r="N107" s="1139">
        <f>0.4525/N101</f>
        <v>0.19504310344827588</v>
      </c>
    </row>
    <row r="108" spans="1:14">
      <c r="A108" s="3513"/>
      <c r="B108" s="3515" t="s">
        <v>1632</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514"/>
      <c r="B109" s="3516"/>
      <c r="C109" s="1141">
        <f>(-0.163*(C108^2)-0.59*C108+7617)*(10^(-4))/C101</f>
        <v>0.32766586206896553</v>
      </c>
      <c r="D109" s="1141">
        <f>(-0.163*(D108^2)-0.59*D108+7617)*(10^(-4))/D101</f>
        <v>0.32766586206896553</v>
      </c>
      <c r="E109" s="1141">
        <f>(-0.161*(E108^2)-7.509*E108+6533)*(10^(-4))/E101</f>
        <v>0.27856137931034486</v>
      </c>
      <c r="F109" s="1141">
        <f>(-0.161*(F108^2)-7.509*F108+6533)*(10^(-4))/F101</f>
        <v>0.27856137931034486</v>
      </c>
      <c r="G109" s="1141">
        <f>(-0.161*(G108^2)-7.509*G108+6533)*(10^(-4))/G101</f>
        <v>0.27856137931034486</v>
      </c>
      <c r="H109" s="1141">
        <f>(-0.161*(H108^2)-7.509*H108+6533)*(10^(-4))/H101</f>
        <v>0.27856137931034486</v>
      </c>
      <c r="I109" s="1141">
        <f>(-0.161*(I108^2)-7.509*I108+6533)*(10^(-4))/I101</f>
        <v>0.27856137931034486</v>
      </c>
      <c r="J109" s="1141">
        <f>(-0.214*(J108^2)-21.991*J108+4665)*(10^(-4))/J101</f>
        <v>0.1929041379310345</v>
      </c>
      <c r="K109" s="1141">
        <f>(-0.214*(K108^2)-21.991*K108+4665)*(10^(-4))/K101</f>
        <v>0.1929041379310345</v>
      </c>
      <c r="L109" s="1141">
        <f>(-0.214*(L108^2)-21.991*L108+4665)*(10^(-4))/L101</f>
        <v>0.1929041379310345</v>
      </c>
      <c r="M109" s="1141">
        <f>(-0.214*(M108^2)-21.991*M108+4665)*(10^(-4))/M101</f>
        <v>0.1929041379310345</v>
      </c>
      <c r="N109" s="1141">
        <f>(-0.214*(N108^2)-21.991*N108+4665)*(10^(-4))/N101</f>
        <v>0.1929041379310345</v>
      </c>
    </row>
    <row r="110" spans="1:14">
      <c r="A110" s="3499" t="s">
        <v>1633</v>
      </c>
      <c r="B110" s="3499"/>
      <c r="C110" s="3499"/>
      <c r="D110" s="3499"/>
      <c r="E110" s="3499"/>
      <c r="F110" s="3499"/>
      <c r="G110" s="3499"/>
      <c r="H110" s="3499"/>
      <c r="I110" s="3499"/>
      <c r="J110" s="3499"/>
      <c r="K110" s="2467"/>
      <c r="L110" s="2467"/>
      <c r="M110" s="2467"/>
      <c r="N110" s="2467"/>
    </row>
    <row r="112" spans="1:14" ht="12.75" thickBot="1"/>
    <row r="113" spans="1:13" ht="25.5" thickBot="1">
      <c r="A113" s="1011" t="s">
        <v>889</v>
      </c>
      <c r="B113" s="2470">
        <f>G3</f>
        <v>2.3199999999999998</v>
      </c>
      <c r="C113" s="1012" t="s">
        <v>890</v>
      </c>
      <c r="D113" s="1013">
        <f>SUMPRODUCT((A115:A118=F113)*(B114:M114=H113)*B115:M118)</f>
        <v>0</v>
      </c>
      <c r="E113" s="1014" t="s">
        <v>891</v>
      </c>
      <c r="F113" s="1015">
        <f>E2</f>
        <v>0</v>
      </c>
      <c r="G113" s="1014" t="s">
        <v>892</v>
      </c>
      <c r="H113" s="1015">
        <f>G2</f>
        <v>0</v>
      </c>
      <c r="I113" s="1014"/>
      <c r="J113" s="1006"/>
      <c r="K113" s="1006"/>
      <c r="L113" s="1006"/>
      <c r="M113" s="1006"/>
    </row>
    <row r="114" spans="1:13" ht="12.75">
      <c r="A114" s="1018"/>
      <c r="B114" s="1019" t="s">
        <v>877</v>
      </c>
      <c r="C114" s="1019" t="s">
        <v>878</v>
      </c>
      <c r="D114" s="1019" t="s">
        <v>879</v>
      </c>
      <c r="E114" s="1020" t="s">
        <v>880</v>
      </c>
      <c r="F114" s="1020" t="s">
        <v>881</v>
      </c>
      <c r="G114" s="1020" t="s">
        <v>882</v>
      </c>
      <c r="H114" s="1021" t="s">
        <v>883</v>
      </c>
      <c r="I114" s="1021" t="s">
        <v>884</v>
      </c>
      <c r="J114" s="1022" t="s">
        <v>885</v>
      </c>
      <c r="K114" s="1022" t="s">
        <v>886</v>
      </c>
      <c r="L114" s="1022" t="s">
        <v>887</v>
      </c>
      <c r="M114" s="1023" t="s">
        <v>888</v>
      </c>
    </row>
    <row r="115" spans="1:13" ht="12.75">
      <c r="A115" s="1024" t="s">
        <v>893</v>
      </c>
      <c r="B115" s="1025">
        <f>ROUND(0.9335-0.0094*B113,4)</f>
        <v>0.91169999999999995</v>
      </c>
      <c r="C115" s="1025">
        <f>B115</f>
        <v>0.91169999999999995</v>
      </c>
      <c r="D115" s="1025">
        <f>ROUND(0.8331-0.0109*B113,4)</f>
        <v>0.80779999999999996</v>
      </c>
      <c r="E115" s="1025">
        <f>D115</f>
        <v>0.80779999999999996</v>
      </c>
      <c r="F115" s="1025">
        <f>E115</f>
        <v>0.80779999999999996</v>
      </c>
      <c r="G115" s="1025">
        <f>F115</f>
        <v>0.80779999999999996</v>
      </c>
      <c r="H115" s="1025">
        <f>G115</f>
        <v>0.80779999999999996</v>
      </c>
      <c r="I115" s="1025">
        <f>ROUND(0.689-0.0155*B113,4)</f>
        <v>0.65300000000000002</v>
      </c>
      <c r="J115" s="1025">
        <f t="shared" ref="J115:M118" si="33">I115</f>
        <v>0.65300000000000002</v>
      </c>
      <c r="K115" s="1025">
        <f t="shared" si="33"/>
        <v>0.65300000000000002</v>
      </c>
      <c r="L115" s="1025">
        <f t="shared" si="33"/>
        <v>0.65300000000000002</v>
      </c>
      <c r="M115" s="1026">
        <f t="shared" si="33"/>
        <v>0.65300000000000002</v>
      </c>
    </row>
    <row r="116" spans="1:13" ht="12.75">
      <c r="A116" s="1024" t="s">
        <v>894</v>
      </c>
      <c r="B116" s="1025">
        <f>ROUND(0.949-0.012*B113,4)</f>
        <v>0.92120000000000002</v>
      </c>
      <c r="C116" s="1025">
        <f>B116</f>
        <v>0.92120000000000002</v>
      </c>
      <c r="D116" s="1025">
        <f>ROUND(0.8567-0.013*B113,4)</f>
        <v>0.82650000000000001</v>
      </c>
      <c r="E116" s="1025">
        <f t="shared" ref="E116:H117" si="34">D116</f>
        <v>0.82650000000000001</v>
      </c>
      <c r="F116" s="1025">
        <f t="shared" si="34"/>
        <v>0.82650000000000001</v>
      </c>
      <c r="G116" s="1025">
        <f t="shared" si="34"/>
        <v>0.82650000000000001</v>
      </c>
      <c r="H116" s="1025">
        <f t="shared" si="34"/>
        <v>0.82650000000000001</v>
      </c>
      <c r="I116" s="1025">
        <f>ROUND(0.7694-0.014*B113,4)</f>
        <v>0.7369</v>
      </c>
      <c r="J116" s="1025">
        <f t="shared" si="33"/>
        <v>0.7369</v>
      </c>
      <c r="K116" s="1025">
        <f t="shared" si="33"/>
        <v>0.7369</v>
      </c>
      <c r="L116" s="1025">
        <f t="shared" si="33"/>
        <v>0.7369</v>
      </c>
      <c r="M116" s="1026">
        <f t="shared" si="33"/>
        <v>0.7369</v>
      </c>
    </row>
    <row r="117" spans="1:13" ht="12.75">
      <c r="A117" s="1027" t="s">
        <v>895</v>
      </c>
      <c r="B117" s="1025">
        <f>ROUND(0.8808-0.006*B113,4)</f>
        <v>0.8669</v>
      </c>
      <c r="C117" s="1025">
        <f>B117</f>
        <v>0.8669</v>
      </c>
      <c r="D117" s="1025">
        <f>ROUND(0.8748-0.008*B113,4)</f>
        <v>0.85619999999999996</v>
      </c>
      <c r="E117" s="1025">
        <f t="shared" si="34"/>
        <v>0.85619999999999996</v>
      </c>
      <c r="F117" s="1025">
        <f t="shared" si="34"/>
        <v>0.85619999999999996</v>
      </c>
      <c r="G117" s="1025">
        <f t="shared" si="34"/>
        <v>0.85619999999999996</v>
      </c>
      <c r="H117" s="1025">
        <f t="shared" si="34"/>
        <v>0.85619999999999996</v>
      </c>
      <c r="I117" s="1025">
        <f>ROUND(0.7412-0.0095*B113,4)</f>
        <v>0.71919999999999995</v>
      </c>
      <c r="J117" s="1025">
        <f t="shared" si="33"/>
        <v>0.71919999999999995</v>
      </c>
      <c r="K117" s="1025">
        <f t="shared" si="33"/>
        <v>0.71919999999999995</v>
      </c>
      <c r="L117" s="1025">
        <f t="shared" si="33"/>
        <v>0.71919999999999995</v>
      </c>
      <c r="M117" s="1026">
        <f t="shared" si="33"/>
        <v>0.71919999999999995</v>
      </c>
    </row>
    <row r="118" spans="1:13" ht="13.5" thickBot="1">
      <c r="A118" s="1028" t="s">
        <v>896</v>
      </c>
      <c r="B118" s="1029">
        <f>ROUND(0.7275-0.01*B113,4)</f>
        <v>0.70430000000000004</v>
      </c>
      <c r="C118" s="1029">
        <f>B118</f>
        <v>0.70430000000000004</v>
      </c>
      <c r="D118" s="1029">
        <f>ROUND(0.7043-0.012*B113,4)</f>
        <v>0.67649999999999999</v>
      </c>
      <c r="E118" s="1029">
        <f>D118</f>
        <v>0.67649999999999999</v>
      </c>
      <c r="F118" s="1029">
        <f>E118</f>
        <v>0.67649999999999999</v>
      </c>
      <c r="G118" s="1029">
        <f>ROUND(0.6299-0.0122*B113,4)</f>
        <v>0.60160000000000002</v>
      </c>
      <c r="H118" s="1029">
        <f>G118</f>
        <v>0.60160000000000002</v>
      </c>
      <c r="I118" s="1029">
        <f>ROUND(0.5667-0.0136*B113,4)</f>
        <v>0.53510000000000002</v>
      </c>
      <c r="J118" s="1029">
        <f t="shared" si="33"/>
        <v>0.53510000000000002</v>
      </c>
      <c r="K118" s="1029">
        <f t="shared" si="33"/>
        <v>0.53510000000000002</v>
      </c>
      <c r="L118" s="1029">
        <f t="shared" si="33"/>
        <v>0.53510000000000002</v>
      </c>
      <c r="M118" s="1030">
        <f t="shared" si="33"/>
        <v>0.53510000000000002</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49" priority="5" stopIfTrue="1" operator="notEqual">
      <formula>"——"</formula>
    </cfRule>
  </conditionalFormatting>
  <conditionalFormatting sqref="F58">
    <cfRule type="cellIs" dxfId="148" priority="4" stopIfTrue="1" operator="notEqual">
      <formula>"——"</formula>
    </cfRule>
  </conditionalFormatting>
  <conditionalFormatting sqref="F69">
    <cfRule type="cellIs" dxfId="147" priority="3" stopIfTrue="1" operator="notEqual">
      <formula>"——"</formula>
    </cfRule>
  </conditionalFormatting>
  <conditionalFormatting sqref="F80">
    <cfRule type="cellIs" dxfId="146" priority="2" stopIfTrue="1" operator="notEqual">
      <formula>"——"</formula>
    </cfRule>
  </conditionalFormatting>
  <conditionalFormatting sqref="H58:H66 H47:H55 H69:H77 H80:H87">
    <cfRule type="cellIs" dxfId="145"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1425</v>
      </c>
      <c r="B1" s="1067" t="s">
        <v>900</v>
      </c>
      <c r="C1" s="1067" t="s">
        <v>901</v>
      </c>
      <c r="D1" s="1067" t="s">
        <v>902</v>
      </c>
      <c r="E1" s="1067" t="s">
        <v>903</v>
      </c>
      <c r="F1" s="1067" t="s">
        <v>904</v>
      </c>
      <c r="G1" s="1067" t="s">
        <v>905</v>
      </c>
      <c r="H1" s="1067" t="s">
        <v>906</v>
      </c>
      <c r="I1" s="1067" t="s">
        <v>907</v>
      </c>
      <c r="J1" s="1067" t="s">
        <v>908</v>
      </c>
      <c r="K1" s="1067" t="s">
        <v>909</v>
      </c>
      <c r="L1" s="1067" t="s">
        <v>910</v>
      </c>
      <c r="M1" s="1068" t="s">
        <v>911</v>
      </c>
    </row>
    <row r="2" spans="1:13" ht="19.5" customHeight="1">
      <c r="A2" s="1102" t="s">
        <v>1001</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1023</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1025</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1426</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1427</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1428</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1429</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1430</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1431</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1432</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1433</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1434</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1435</v>
      </c>
      <c r="B14" s="1120">
        <v>0</v>
      </c>
      <c r="C14" s="1120">
        <v>0</v>
      </c>
      <c r="D14" s="1120">
        <v>0</v>
      </c>
      <c r="E14" s="1120">
        <v>0</v>
      </c>
      <c r="F14" s="1120">
        <v>0</v>
      </c>
      <c r="G14" s="1120">
        <v>0</v>
      </c>
      <c r="H14" s="1120">
        <v>0</v>
      </c>
      <c r="I14" s="1120">
        <v>0</v>
      </c>
      <c r="J14" s="1120">
        <v>0</v>
      </c>
      <c r="K14" s="1120">
        <v>0</v>
      </c>
      <c r="L14" s="1120">
        <v>0</v>
      </c>
      <c r="M14" s="1120">
        <v>0</v>
      </c>
    </row>
    <row r="16" spans="1:13" ht="19.5" customHeight="1">
      <c r="A16" s="1121" t="s">
        <v>1436</v>
      </c>
      <c r="B16" s="1121"/>
      <c r="C16" s="1122"/>
      <c r="D16" s="1122"/>
      <c r="E16" s="1121"/>
      <c r="F16" s="1122"/>
      <c r="G16" s="1122"/>
    </row>
    <row r="17" spans="1:9" ht="19.5" customHeight="1">
      <c r="A17" s="1063" t="s">
        <v>1437</v>
      </c>
      <c r="B17" s="1123" t="s">
        <v>1438</v>
      </c>
      <c r="C17" s="1123" t="s">
        <v>1637</v>
      </c>
      <c r="D17" s="1124"/>
      <c r="E17" s="1063" t="s">
        <v>1439</v>
      </c>
      <c r="F17" s="1125"/>
      <c r="G17" s="1125"/>
    </row>
    <row r="18" spans="1:9" s="1594" customFormat="1" ht="19.5" customHeight="1">
      <c r="A18" s="3505" t="s">
        <v>1001</v>
      </c>
      <c r="B18" s="1149" t="s">
        <v>1440</v>
      </c>
      <c r="C18" s="1126" t="s">
        <v>1441</v>
      </c>
      <c r="D18" s="1127"/>
      <c r="E18" s="1149">
        <v>1</v>
      </c>
      <c r="F18" s="1128" t="s">
        <v>1442</v>
      </c>
      <c r="G18" s="1129"/>
      <c r="H18" s="1100"/>
      <c r="I18" s="1100"/>
    </row>
    <row r="19" spans="1:9" s="1594" customFormat="1" ht="19.5" customHeight="1">
      <c r="A19" s="3505"/>
      <c r="B19" s="3505" t="s">
        <v>1443</v>
      </c>
      <c r="C19" s="1126" t="s">
        <v>1444</v>
      </c>
      <c r="D19" s="1127"/>
      <c r="E19" s="1149">
        <v>0.9</v>
      </c>
      <c r="F19" s="1128" t="s">
        <v>1445</v>
      </c>
      <c r="G19" s="1129"/>
      <c r="H19" s="1100"/>
      <c r="I19" s="1100"/>
    </row>
    <row r="20" spans="1:9" s="1594" customFormat="1" ht="19.5" customHeight="1">
      <c r="A20" s="3505"/>
      <c r="B20" s="3505"/>
      <c r="C20" s="1126" t="s">
        <v>1446</v>
      </c>
      <c r="D20" s="1127"/>
      <c r="E20" s="1149">
        <v>1.1000000000000001</v>
      </c>
      <c r="F20" s="1128" t="s">
        <v>1447</v>
      </c>
      <c r="G20" s="1129"/>
      <c r="H20" s="1100"/>
      <c r="I20" s="1100"/>
    </row>
    <row r="21" spans="1:9" s="1594" customFormat="1" ht="19.5" customHeight="1">
      <c r="A21" s="3505"/>
      <c r="B21" s="3505"/>
      <c r="C21" s="1126" t="s">
        <v>1448</v>
      </c>
      <c r="D21" s="1127"/>
      <c r="E21" s="1149">
        <v>0.8</v>
      </c>
      <c r="F21" s="1128" t="s">
        <v>1449</v>
      </c>
      <c r="G21" s="1129"/>
      <c r="H21" s="1100"/>
      <c r="I21" s="1100"/>
    </row>
    <row r="22" spans="1:9" s="1594" customFormat="1" ht="19.5" customHeight="1">
      <c r="A22" s="3505"/>
      <c r="B22" s="3505"/>
      <c r="C22" s="1126" t="s">
        <v>1450</v>
      </c>
      <c r="D22" s="1127"/>
      <c r="E22" s="1149">
        <v>0.5</v>
      </c>
      <c r="F22" s="1128"/>
      <c r="G22" s="1129"/>
      <c r="H22" s="1100"/>
      <c r="I22" s="1100"/>
    </row>
    <row r="23" spans="1:9" s="1594" customFormat="1" ht="19.5" customHeight="1">
      <c r="A23" s="3505" t="s">
        <v>1023</v>
      </c>
      <c r="B23" s="1149" t="s">
        <v>1440</v>
      </c>
      <c r="C23" s="1126" t="s">
        <v>1451</v>
      </c>
      <c r="D23" s="1127"/>
      <c r="E23" s="1149">
        <v>1</v>
      </c>
      <c r="F23" s="1128" t="s">
        <v>1452</v>
      </c>
      <c r="G23" s="1129"/>
      <c r="H23" s="1100"/>
      <c r="I23" s="1100"/>
    </row>
    <row r="24" spans="1:9" s="1594" customFormat="1" ht="19.5" customHeight="1">
      <c r="A24" s="3505"/>
      <c r="B24" s="3505" t="s">
        <v>1443</v>
      </c>
      <c r="C24" s="1126" t="s">
        <v>1453</v>
      </c>
      <c r="D24" s="1127"/>
      <c r="E24" s="1149">
        <v>0.5</v>
      </c>
      <c r="F24" s="1128"/>
      <c r="G24" s="1129"/>
      <c r="H24" s="1100"/>
      <c r="I24" s="1100"/>
    </row>
    <row r="25" spans="1:9" s="1594" customFormat="1" ht="19.5" customHeight="1">
      <c r="A25" s="3505"/>
      <c r="B25" s="3505"/>
      <c r="C25" s="1126" t="s">
        <v>1454</v>
      </c>
      <c r="D25" s="1127"/>
      <c r="E25" s="1149">
        <v>1.1000000000000001</v>
      </c>
      <c r="F25" s="1128"/>
      <c r="G25" s="1129"/>
      <c r="H25" s="1100"/>
      <c r="I25" s="1100"/>
    </row>
    <row r="26" spans="1:9" s="1594" customFormat="1" ht="19.5" customHeight="1">
      <c r="A26" s="3505"/>
      <c r="B26" s="3505"/>
      <c r="C26" s="1126" t="s">
        <v>1455</v>
      </c>
      <c r="D26" s="1127"/>
      <c r="E26" s="1149">
        <v>1.1000000000000001</v>
      </c>
      <c r="F26" s="1128"/>
      <c r="G26" s="1129"/>
      <c r="H26" s="1100"/>
      <c r="I26" s="1100"/>
    </row>
    <row r="27" spans="1:9" s="1594" customFormat="1" ht="19.5" customHeight="1">
      <c r="A27" s="3505"/>
      <c r="B27" s="3505"/>
      <c r="C27" s="1126" t="s">
        <v>1456</v>
      </c>
      <c r="D27" s="1127"/>
      <c r="E27" s="1149">
        <v>0.9</v>
      </c>
      <c r="F27" s="1128" t="s">
        <v>1457</v>
      </c>
      <c r="G27" s="1129"/>
      <c r="H27" s="1100"/>
      <c r="I27" s="1100"/>
    </row>
    <row r="28" spans="1:9" s="1594" customFormat="1" ht="19.5" customHeight="1">
      <c r="A28" s="3505"/>
      <c r="B28" s="3505"/>
      <c r="C28" s="1126" t="s">
        <v>1458</v>
      </c>
      <c r="D28" s="1127"/>
      <c r="E28" s="1149">
        <v>0.9</v>
      </c>
      <c r="F28" s="1128" t="s">
        <v>1459</v>
      </c>
      <c r="G28" s="1129"/>
      <c r="H28" s="1100"/>
      <c r="I28" s="1100"/>
    </row>
    <row r="29" spans="1:9" s="1594" customFormat="1" ht="19.5" customHeight="1">
      <c r="A29" s="3505"/>
      <c r="B29" s="3505"/>
      <c r="C29" s="1126" t="s">
        <v>1460</v>
      </c>
      <c r="D29" s="1127"/>
      <c r="E29" s="1149">
        <v>0.9</v>
      </c>
      <c r="F29" s="1128" t="s">
        <v>1461</v>
      </c>
      <c r="G29" s="1129"/>
      <c r="H29" s="1100"/>
      <c r="I29" s="1100"/>
    </row>
    <row r="30" spans="1:9" s="1594" customFormat="1" ht="19.5" customHeight="1">
      <c r="A30" s="3505"/>
      <c r="B30" s="3505"/>
      <c r="C30" s="1126" t="s">
        <v>1462</v>
      </c>
      <c r="D30" s="1127"/>
      <c r="E30" s="1149">
        <v>0.9</v>
      </c>
      <c r="F30" s="1128" t="s">
        <v>1463</v>
      </c>
      <c r="G30" s="1129"/>
      <c r="H30" s="1100"/>
      <c r="I30" s="1100"/>
    </row>
    <row r="31" spans="1:9" s="1594" customFormat="1" ht="19.5" customHeight="1">
      <c r="A31" s="3505"/>
      <c r="B31" s="3505"/>
      <c r="C31" s="1126" t="s">
        <v>1464</v>
      </c>
      <c r="D31" s="1127"/>
      <c r="E31" s="1149">
        <v>0.8</v>
      </c>
      <c r="F31" s="1128" t="s">
        <v>1465</v>
      </c>
      <c r="G31" s="1129"/>
      <c r="H31" s="1100"/>
      <c r="I31" s="1100"/>
    </row>
    <row r="32" spans="1:9" s="1594" customFormat="1" ht="19.5" customHeight="1">
      <c r="A32" s="3505"/>
      <c r="B32" s="3505"/>
      <c r="C32" s="1126" t="s">
        <v>1466</v>
      </c>
      <c r="D32" s="1127"/>
      <c r="E32" s="1149">
        <v>0.8</v>
      </c>
      <c r="F32" s="1128" t="s">
        <v>1467</v>
      </c>
      <c r="G32" s="1129"/>
      <c r="H32" s="1100"/>
      <c r="I32" s="1100"/>
    </row>
    <row r="33" spans="1:9" s="1594" customFormat="1" ht="19.5" customHeight="1">
      <c r="A33" s="3505" t="s">
        <v>1468</v>
      </c>
      <c r="B33" s="1149" t="s">
        <v>1440</v>
      </c>
      <c r="C33" s="1126" t="s">
        <v>1469</v>
      </c>
      <c r="D33" s="1127"/>
      <c r="E33" s="1149">
        <v>1</v>
      </c>
      <c r="F33" s="1128" t="s">
        <v>1470</v>
      </c>
      <c r="G33" s="1129"/>
      <c r="H33" s="1100"/>
      <c r="I33" s="1100"/>
    </row>
    <row r="34" spans="1:9" s="1594" customFormat="1" ht="19.5" customHeight="1">
      <c r="A34" s="3505"/>
      <c r="B34" s="1149" t="s">
        <v>1443</v>
      </c>
      <c r="C34" s="1126" t="s">
        <v>1471</v>
      </c>
      <c r="D34" s="1127"/>
      <c r="E34" s="1149">
        <v>1.5</v>
      </c>
      <c r="F34" s="1128" t="s">
        <v>1472</v>
      </c>
      <c r="G34" s="1129"/>
      <c r="H34" s="1100"/>
      <c r="I34" s="1100"/>
    </row>
    <row r="35" spans="1:9" s="1594" customFormat="1" ht="19.5" customHeight="1">
      <c r="A35" s="3505" t="s">
        <v>1426</v>
      </c>
      <c r="B35" s="1149" t="s">
        <v>1440</v>
      </c>
      <c r="C35" s="1126" t="s">
        <v>1473</v>
      </c>
      <c r="D35" s="1127"/>
      <c r="E35" s="1149">
        <v>1</v>
      </c>
      <c r="F35" s="1128" t="s">
        <v>1474</v>
      </c>
      <c r="G35" s="1129"/>
      <c r="H35" s="1100"/>
      <c r="I35" s="1100"/>
    </row>
    <row r="36" spans="1:9" s="1594" customFormat="1" ht="19.5" customHeight="1">
      <c r="A36" s="3505"/>
      <c r="B36" s="3505" t="s">
        <v>1443</v>
      </c>
      <c r="C36" s="1126" t="s">
        <v>1475</v>
      </c>
      <c r="D36" s="1127"/>
      <c r="E36" s="1149">
        <v>1</v>
      </c>
      <c r="F36" s="1128" t="s">
        <v>1476</v>
      </c>
      <c r="G36" s="1129"/>
      <c r="H36" s="1100"/>
      <c r="I36" s="1100"/>
    </row>
    <row r="37" spans="1:9" s="1594" customFormat="1" ht="19.5" customHeight="1">
      <c r="A37" s="3505"/>
      <c r="B37" s="3505"/>
      <c r="C37" s="1126" t="s">
        <v>1477</v>
      </c>
      <c r="D37" s="1127"/>
      <c r="E37" s="1149">
        <v>1.5</v>
      </c>
      <c r="F37" s="1128" t="s">
        <v>1478</v>
      </c>
      <c r="G37" s="1129"/>
      <c r="H37" s="1100"/>
      <c r="I37" s="1100"/>
    </row>
    <row r="38" spans="1:9" s="1594" customFormat="1" ht="19.5" customHeight="1">
      <c r="A38" s="3505"/>
      <c r="B38" s="3505"/>
      <c r="C38" s="1126" t="s">
        <v>1479</v>
      </c>
      <c r="D38" s="1127"/>
      <c r="E38" s="1149">
        <v>1</v>
      </c>
      <c r="F38" s="1128" t="s">
        <v>1480</v>
      </c>
      <c r="G38" s="1129"/>
      <c r="H38" s="1100"/>
      <c r="I38" s="1100"/>
    </row>
    <row r="39" spans="1:9" s="1594" customFormat="1" ht="19.5" customHeight="1">
      <c r="A39" s="3505"/>
      <c r="B39" s="3505"/>
      <c r="C39" s="1126" t="s">
        <v>1481</v>
      </c>
      <c r="D39" s="1127"/>
      <c r="E39" s="1149">
        <v>1</v>
      </c>
      <c r="F39" s="1128" t="s">
        <v>1482</v>
      </c>
      <c r="G39" s="1129"/>
      <c r="H39" s="1100"/>
      <c r="I39" s="1100"/>
    </row>
    <row r="40" spans="1:9" s="1594" customFormat="1" ht="19.5" customHeight="1">
      <c r="A40" s="1595" t="s">
        <v>1483</v>
      </c>
      <c r="B40" s="1595"/>
      <c r="C40" s="1595"/>
      <c r="D40" s="1595"/>
      <c r="E40" s="1595"/>
      <c r="F40" s="1128"/>
      <c r="G40" s="1128"/>
      <c r="H40" s="1100"/>
      <c r="I40" s="1100"/>
    </row>
    <row r="42" spans="1:9" ht="19.5" customHeight="1">
      <c r="A42" s="1130"/>
      <c r="B42" s="1063" t="s">
        <v>1484</v>
      </c>
      <c r="C42" s="1063" t="s">
        <v>1484</v>
      </c>
      <c r="D42" s="1063" t="s">
        <v>1484</v>
      </c>
      <c r="E42" s="1148" t="s">
        <v>1484</v>
      </c>
      <c r="F42" s="1148" t="s">
        <v>1484</v>
      </c>
      <c r="G42" s="1148" t="s">
        <v>1485</v>
      </c>
      <c r="H42" s="1148" t="s">
        <v>1484</v>
      </c>
    </row>
    <row r="43" spans="1:9" ht="19.5" customHeight="1">
      <c r="A43" s="1131"/>
      <c r="B43" s="1148" t="s">
        <v>1001</v>
      </c>
      <c r="C43" s="1148" t="s">
        <v>1001</v>
      </c>
      <c r="D43" s="1148" t="s">
        <v>1001</v>
      </c>
      <c r="E43" s="1148" t="s">
        <v>1001</v>
      </c>
      <c r="F43" s="1063" t="s">
        <v>1023</v>
      </c>
      <c r="G43" s="1063" t="s">
        <v>1426</v>
      </c>
      <c r="H43" s="1063" t="s">
        <v>1486</v>
      </c>
    </row>
    <row r="44" spans="1:9" ht="19.5" customHeight="1">
      <c r="A44" s="1132"/>
      <c r="B44" s="1063">
        <v>1</v>
      </c>
      <c r="C44" s="1063">
        <v>2</v>
      </c>
      <c r="D44" s="1063">
        <v>3</v>
      </c>
      <c r="E44" s="1148">
        <v>4</v>
      </c>
      <c r="F44" s="1124" t="s">
        <v>1487</v>
      </c>
      <c r="G44" s="1124" t="s">
        <v>1487</v>
      </c>
      <c r="H44" s="1124" t="s">
        <v>1487</v>
      </c>
    </row>
    <row r="45" spans="1:9" ht="19.5" customHeight="1">
      <c r="A45" s="1147" t="s">
        <v>900</v>
      </c>
      <c r="B45" s="1063">
        <v>0.8</v>
      </c>
      <c r="C45" s="1063">
        <v>0.5</v>
      </c>
      <c r="D45" s="1063">
        <v>0.36</v>
      </c>
      <c r="E45" s="1063">
        <v>0.3</v>
      </c>
      <c r="F45" s="1124">
        <v>0.3</v>
      </c>
      <c r="G45" s="1063">
        <v>0.3</v>
      </c>
      <c r="H45" s="1063">
        <v>0.25</v>
      </c>
    </row>
    <row r="46" spans="1:9" ht="19.5" customHeight="1">
      <c r="A46" s="1147" t="s">
        <v>901</v>
      </c>
      <c r="B46" s="1063">
        <v>0.8</v>
      </c>
      <c r="C46" s="1063">
        <v>0.5</v>
      </c>
      <c r="D46" s="1063">
        <v>0.36</v>
      </c>
      <c r="E46" s="1063">
        <v>0.3</v>
      </c>
      <c r="F46" s="1063">
        <v>0.3</v>
      </c>
      <c r="G46" s="1063">
        <v>0.3</v>
      </c>
      <c r="H46" s="1063">
        <v>0.25</v>
      </c>
    </row>
    <row r="47" spans="1:9" ht="19.5" customHeight="1">
      <c r="A47" s="1147" t="s">
        <v>902</v>
      </c>
      <c r="B47" s="1063">
        <v>0.7</v>
      </c>
      <c r="C47" s="1063">
        <v>0.4</v>
      </c>
      <c r="D47" s="1063">
        <v>0.28000000000000003</v>
      </c>
      <c r="E47" s="1063">
        <v>0.25</v>
      </c>
      <c r="F47" s="1063">
        <v>0.25</v>
      </c>
      <c r="G47" s="1063">
        <v>0.25</v>
      </c>
      <c r="H47" s="1063">
        <v>0.2</v>
      </c>
    </row>
    <row r="48" spans="1:9" ht="19.5" customHeight="1">
      <c r="A48" s="1147" t="s">
        <v>903</v>
      </c>
      <c r="B48" s="1063">
        <v>0.7</v>
      </c>
      <c r="C48" s="1063">
        <v>0.4</v>
      </c>
      <c r="D48" s="1063">
        <v>0.28000000000000003</v>
      </c>
      <c r="E48" s="1063">
        <v>0.25</v>
      </c>
      <c r="F48" s="1063">
        <v>0.25</v>
      </c>
      <c r="G48" s="1063">
        <v>0.25</v>
      </c>
      <c r="H48" s="1063">
        <v>0.2</v>
      </c>
    </row>
    <row r="49" spans="1:8" s="1100" customFormat="1" ht="19.5" customHeight="1">
      <c r="A49" s="1147" t="s">
        <v>904</v>
      </c>
      <c r="B49" s="1063">
        <v>0.7</v>
      </c>
      <c r="C49" s="1063">
        <v>0.4</v>
      </c>
      <c r="D49" s="1063">
        <v>0.28000000000000003</v>
      </c>
      <c r="E49" s="1063">
        <v>0.25</v>
      </c>
      <c r="F49" s="1063">
        <v>0.25</v>
      </c>
      <c r="G49" s="1063">
        <v>0.25</v>
      </c>
      <c r="H49" s="1063">
        <v>0.2</v>
      </c>
    </row>
    <row r="50" spans="1:8" s="1100" customFormat="1" ht="19.5" customHeight="1">
      <c r="A50" s="1147" t="s">
        <v>905</v>
      </c>
      <c r="B50" s="1063">
        <v>0.7</v>
      </c>
      <c r="C50" s="1063">
        <v>0.4</v>
      </c>
      <c r="D50" s="1063">
        <v>0.28000000000000003</v>
      </c>
      <c r="E50" s="1063">
        <v>0.25</v>
      </c>
      <c r="F50" s="1063">
        <v>0.25</v>
      </c>
      <c r="G50" s="1063">
        <v>0.25</v>
      </c>
      <c r="H50" s="1063">
        <v>0.2</v>
      </c>
    </row>
    <row r="51" spans="1:8" s="1100" customFormat="1" ht="19.5" customHeight="1">
      <c r="A51" s="1147" t="s">
        <v>906</v>
      </c>
      <c r="B51" s="1063">
        <v>0.7</v>
      </c>
      <c r="C51" s="1063">
        <v>0.4</v>
      </c>
      <c r="D51" s="1063">
        <v>0.28000000000000003</v>
      </c>
      <c r="E51" s="1063">
        <v>0.25</v>
      </c>
      <c r="F51" s="1063">
        <v>0.25</v>
      </c>
      <c r="G51" s="1063">
        <v>0.25</v>
      </c>
      <c r="H51" s="1063">
        <v>0.2</v>
      </c>
    </row>
    <row r="52" spans="1:8" s="1100" customFormat="1" ht="19.5" customHeight="1">
      <c r="A52" s="1147" t="s">
        <v>907</v>
      </c>
      <c r="B52" s="1063">
        <v>0.6</v>
      </c>
      <c r="C52" s="1063">
        <v>0.3</v>
      </c>
      <c r="D52" s="1063">
        <v>0.2</v>
      </c>
      <c r="E52" s="1063">
        <v>0.2</v>
      </c>
      <c r="F52" s="1063">
        <v>0.2</v>
      </c>
      <c r="G52" s="1063">
        <v>0.2</v>
      </c>
      <c r="H52" s="1063">
        <v>0.15</v>
      </c>
    </row>
    <row r="53" spans="1:8" s="1100" customFormat="1" ht="19.5" customHeight="1">
      <c r="A53" s="1147" t="s">
        <v>908</v>
      </c>
      <c r="B53" s="1063">
        <v>0.6</v>
      </c>
      <c r="C53" s="1063">
        <v>0.3</v>
      </c>
      <c r="D53" s="1063">
        <v>0.2</v>
      </c>
      <c r="E53" s="1063">
        <v>0.2</v>
      </c>
      <c r="F53" s="1063">
        <v>0.2</v>
      </c>
      <c r="G53" s="1063">
        <v>0.2</v>
      </c>
      <c r="H53" s="1063">
        <v>0.15</v>
      </c>
    </row>
    <row r="54" spans="1:8" s="1100" customFormat="1" ht="19.5" customHeight="1">
      <c r="A54" s="1147" t="s">
        <v>909</v>
      </c>
      <c r="B54" s="1063">
        <v>0.6</v>
      </c>
      <c r="C54" s="1063">
        <v>0.3</v>
      </c>
      <c r="D54" s="1063">
        <v>0.2</v>
      </c>
      <c r="E54" s="1063">
        <v>0.2</v>
      </c>
      <c r="F54" s="1063">
        <v>0.2</v>
      </c>
      <c r="G54" s="1063">
        <v>0.2</v>
      </c>
      <c r="H54" s="1063">
        <v>0.15</v>
      </c>
    </row>
    <row r="55" spans="1:8" s="1100" customFormat="1" ht="19.5" customHeight="1">
      <c r="A55" s="1147" t="s">
        <v>910</v>
      </c>
      <c r="B55" s="1063">
        <v>0.6</v>
      </c>
      <c r="C55" s="1063">
        <v>0.3</v>
      </c>
      <c r="D55" s="1063">
        <v>0.2</v>
      </c>
      <c r="E55" s="1063">
        <v>0.2</v>
      </c>
      <c r="F55" s="1063">
        <v>0.2</v>
      </c>
      <c r="G55" s="1063">
        <v>0.2</v>
      </c>
      <c r="H55" s="1063">
        <v>0.15</v>
      </c>
    </row>
    <row r="56" spans="1:8" s="1100" customFormat="1" ht="19.5" customHeight="1">
      <c r="A56" s="1147" t="s">
        <v>911</v>
      </c>
      <c r="B56" s="1063">
        <v>0.6</v>
      </c>
      <c r="C56" s="1063">
        <v>0.3</v>
      </c>
      <c r="D56" s="1063">
        <v>0.2</v>
      </c>
      <c r="E56" s="1063">
        <v>0.2</v>
      </c>
      <c r="F56" s="1063">
        <v>0.2</v>
      </c>
      <c r="G56" s="1063">
        <v>0.2</v>
      </c>
      <c r="H56" s="1063">
        <v>0.15</v>
      </c>
    </row>
    <row r="58" spans="1:8" s="1100" customFormat="1" ht="19.5" customHeight="1">
      <c r="A58" s="1133"/>
      <c r="B58" s="1121"/>
      <c r="C58" s="1121"/>
      <c r="D58" s="1121" t="s">
        <v>1488</v>
      </c>
      <c r="E58" s="1121"/>
      <c r="F58" s="1121"/>
    </row>
    <row r="59" spans="1:8" s="1100" customFormat="1" ht="19.5" customHeight="1">
      <c r="A59" s="1149" t="s">
        <v>1489</v>
      </c>
      <c r="B59" s="1149" t="s">
        <v>1490</v>
      </c>
      <c r="C59" s="1149" t="s">
        <v>1491</v>
      </c>
      <c r="D59" s="1149" t="s">
        <v>1492</v>
      </c>
      <c r="E59" s="1149" t="s">
        <v>1493</v>
      </c>
      <c r="F59" s="1149" t="s">
        <v>1494</v>
      </c>
    </row>
    <row r="60" spans="1:8" s="1100" customFormat="1" ht="19.5" customHeight="1">
      <c r="A60" s="1149"/>
      <c r="B60" s="1149"/>
      <c r="C60" s="1149" t="s">
        <v>1626</v>
      </c>
      <c r="D60" s="1149"/>
      <c r="E60" s="1134" t="s">
        <v>1435</v>
      </c>
      <c r="F60" s="1149" t="s">
        <v>1435</v>
      </c>
    </row>
    <row r="61" spans="1:8" s="1100" customFormat="1" ht="24">
      <c r="A61" s="1149">
        <v>1</v>
      </c>
      <c r="B61" s="3505" t="s">
        <v>1495</v>
      </c>
      <c r="C61" s="1063" t="s">
        <v>1496</v>
      </c>
      <c r="D61" s="1063" t="s">
        <v>1497</v>
      </c>
      <c r="E61" s="1134">
        <v>0.5</v>
      </c>
      <c r="F61" s="1149">
        <v>80</v>
      </c>
      <c r="H61" s="1100">
        <f>SUMIF(C59:C119,基准地价!C8,E59:E119)</f>
        <v>0</v>
      </c>
    </row>
    <row r="62" spans="1:8" s="1100" customFormat="1" ht="24">
      <c r="A62" s="1149">
        <v>2</v>
      </c>
      <c r="B62" s="3505"/>
      <c r="C62" s="1063" t="s">
        <v>1498</v>
      </c>
      <c r="D62" s="1063" t="s">
        <v>1499</v>
      </c>
      <c r="E62" s="1134">
        <v>0.5</v>
      </c>
      <c r="F62" s="1149">
        <v>80</v>
      </c>
    </row>
    <row r="63" spans="1:8" s="1100" customFormat="1" ht="36">
      <c r="A63" s="1149">
        <v>3</v>
      </c>
      <c r="B63" s="3505"/>
      <c r="C63" s="1063" t="s">
        <v>1500</v>
      </c>
      <c r="D63" s="1063" t="s">
        <v>1501</v>
      </c>
      <c r="E63" s="1134">
        <v>0.5</v>
      </c>
      <c r="F63" s="1149">
        <v>80</v>
      </c>
    </row>
    <row r="64" spans="1:8" s="1100" customFormat="1" ht="36">
      <c r="A64" s="1149">
        <v>4</v>
      </c>
      <c r="B64" s="3505"/>
      <c r="C64" s="1063" t="s">
        <v>1502</v>
      </c>
      <c r="D64" s="1063" t="s">
        <v>1503</v>
      </c>
      <c r="E64" s="1134">
        <v>0.4</v>
      </c>
      <c r="F64" s="1149">
        <v>60</v>
      </c>
    </row>
    <row r="65" spans="1:6" s="1100" customFormat="1" ht="36">
      <c r="A65" s="1149">
        <v>5</v>
      </c>
      <c r="B65" s="3505"/>
      <c r="C65" s="1063" t="s">
        <v>1504</v>
      </c>
      <c r="D65" s="1063" t="s">
        <v>1505</v>
      </c>
      <c r="E65" s="1134">
        <v>0.2</v>
      </c>
      <c r="F65" s="1149">
        <v>30</v>
      </c>
    </row>
    <row r="66" spans="1:6" s="1100" customFormat="1" ht="36">
      <c r="A66" s="1149">
        <v>6</v>
      </c>
      <c r="B66" s="3505"/>
      <c r="C66" s="1063" t="s">
        <v>1506</v>
      </c>
      <c r="D66" s="1063" t="s">
        <v>1507</v>
      </c>
      <c r="E66" s="1134">
        <v>0.3</v>
      </c>
      <c r="F66" s="1149">
        <v>50</v>
      </c>
    </row>
    <row r="67" spans="1:6" s="1100" customFormat="1" ht="36">
      <c r="A67" s="1149">
        <v>7</v>
      </c>
      <c r="B67" s="3505"/>
      <c r="C67" s="1063" t="s">
        <v>1508</v>
      </c>
      <c r="D67" s="1063" t="s">
        <v>1509</v>
      </c>
      <c r="E67" s="1134">
        <v>0.2</v>
      </c>
      <c r="F67" s="1149">
        <v>30</v>
      </c>
    </row>
    <row r="68" spans="1:6" s="1100" customFormat="1" ht="36">
      <c r="A68" s="1149">
        <v>8</v>
      </c>
      <c r="B68" s="3505"/>
      <c r="C68" s="1063" t="s">
        <v>1510</v>
      </c>
      <c r="D68" s="1063" t="s">
        <v>1511</v>
      </c>
      <c r="E68" s="1134">
        <v>0.2</v>
      </c>
      <c r="F68" s="1149">
        <v>30</v>
      </c>
    </row>
    <row r="69" spans="1:6" s="1100" customFormat="1" ht="36">
      <c r="A69" s="1149">
        <v>9</v>
      </c>
      <c r="B69" s="3505"/>
      <c r="C69" s="1063" t="s">
        <v>1512</v>
      </c>
      <c r="D69" s="1063" t="s">
        <v>1513</v>
      </c>
      <c r="E69" s="1134">
        <v>0.2</v>
      </c>
      <c r="F69" s="1149">
        <v>30</v>
      </c>
    </row>
    <row r="70" spans="1:6" s="1100" customFormat="1" ht="48">
      <c r="A70" s="1149">
        <v>10</v>
      </c>
      <c r="B70" s="3505"/>
      <c r="C70" s="1063" t="s">
        <v>1514</v>
      </c>
      <c r="D70" s="1063" t="s">
        <v>1515</v>
      </c>
      <c r="E70" s="1134">
        <v>0.2</v>
      </c>
      <c r="F70" s="1149">
        <v>30</v>
      </c>
    </row>
    <row r="71" spans="1:6" s="1100" customFormat="1" ht="48">
      <c r="A71" s="1149">
        <v>11</v>
      </c>
      <c r="B71" s="3505"/>
      <c r="C71" s="1063" t="s">
        <v>1516</v>
      </c>
      <c r="D71" s="1063" t="s">
        <v>1517</v>
      </c>
      <c r="E71" s="1134">
        <v>0.2</v>
      </c>
      <c r="F71" s="1149">
        <v>30</v>
      </c>
    </row>
    <row r="72" spans="1:6" s="1100" customFormat="1" ht="36">
      <c r="A72" s="1149">
        <v>12</v>
      </c>
      <c r="B72" s="3505"/>
      <c r="C72" s="1063" t="s">
        <v>1518</v>
      </c>
      <c r="D72" s="1063" t="s">
        <v>1519</v>
      </c>
      <c r="E72" s="1134">
        <v>0.5</v>
      </c>
      <c r="F72" s="1149">
        <v>80</v>
      </c>
    </row>
    <row r="73" spans="1:6" s="1100" customFormat="1" ht="24">
      <c r="A73" s="1149">
        <v>13</v>
      </c>
      <c r="B73" s="3505"/>
      <c r="C73" s="1063" t="s">
        <v>1520</v>
      </c>
      <c r="D73" s="1063" t="s">
        <v>1521</v>
      </c>
      <c r="E73" s="1134">
        <v>0.4</v>
      </c>
      <c r="F73" s="1149">
        <v>60</v>
      </c>
    </row>
    <row r="74" spans="1:6" s="1100" customFormat="1" ht="24">
      <c r="A74" s="1149">
        <v>14</v>
      </c>
      <c r="B74" s="3505"/>
      <c r="C74" s="1063" t="s">
        <v>1522</v>
      </c>
      <c r="D74" s="1063" t="s">
        <v>1523</v>
      </c>
      <c r="E74" s="1134">
        <v>0.2</v>
      </c>
      <c r="F74" s="1149">
        <v>30</v>
      </c>
    </row>
    <row r="75" spans="1:6" s="1100" customFormat="1" ht="24">
      <c r="A75" s="1149">
        <v>15</v>
      </c>
      <c r="B75" s="3505"/>
      <c r="C75" s="1063" t="s">
        <v>1524</v>
      </c>
      <c r="D75" s="1063" t="s">
        <v>1525</v>
      </c>
      <c r="E75" s="1134">
        <v>0.2</v>
      </c>
      <c r="F75" s="1149">
        <v>30</v>
      </c>
    </row>
    <row r="76" spans="1:6" s="1100" customFormat="1" ht="24">
      <c r="A76" s="1149">
        <v>16</v>
      </c>
      <c r="B76" s="3505" t="s">
        <v>1526</v>
      </c>
      <c r="C76" s="1063" t="s">
        <v>1527</v>
      </c>
      <c r="D76" s="1063" t="s">
        <v>1528</v>
      </c>
      <c r="E76" s="1134">
        <v>0.5</v>
      </c>
      <c r="F76" s="1149">
        <v>80</v>
      </c>
    </row>
    <row r="77" spans="1:6" s="1100" customFormat="1" ht="24">
      <c r="A77" s="1149">
        <v>17</v>
      </c>
      <c r="B77" s="3505"/>
      <c r="C77" s="1063" t="s">
        <v>1529</v>
      </c>
      <c r="D77" s="1063" t="s">
        <v>1530</v>
      </c>
      <c r="E77" s="1134">
        <v>0.5</v>
      </c>
      <c r="F77" s="1149">
        <v>80</v>
      </c>
    </row>
    <row r="78" spans="1:6" s="1100" customFormat="1" ht="24">
      <c r="A78" s="1149">
        <v>18</v>
      </c>
      <c r="B78" s="3505"/>
      <c r="C78" s="1063" t="s">
        <v>1531</v>
      </c>
      <c r="D78" s="1063" t="s">
        <v>1532</v>
      </c>
      <c r="E78" s="1134">
        <v>0.2</v>
      </c>
      <c r="F78" s="1149">
        <v>30</v>
      </c>
    </row>
    <row r="79" spans="1:6" s="1100" customFormat="1" ht="24">
      <c r="A79" s="1149">
        <v>19</v>
      </c>
      <c r="B79" s="3505"/>
      <c r="C79" s="1063" t="s">
        <v>1533</v>
      </c>
      <c r="D79" s="1063" t="s">
        <v>1534</v>
      </c>
      <c r="E79" s="1134">
        <v>0.5</v>
      </c>
      <c r="F79" s="1149">
        <v>80</v>
      </c>
    </row>
    <row r="80" spans="1:6" s="1100" customFormat="1" ht="36">
      <c r="A80" s="1149">
        <v>20</v>
      </c>
      <c r="B80" s="3505"/>
      <c r="C80" s="1063" t="s">
        <v>1535</v>
      </c>
      <c r="D80" s="1063" t="s">
        <v>1536</v>
      </c>
      <c r="E80" s="1134">
        <v>0.2</v>
      </c>
      <c r="F80" s="1149">
        <v>30</v>
      </c>
    </row>
    <row r="81" spans="1:6" s="1100" customFormat="1" ht="36">
      <c r="A81" s="1149">
        <v>21</v>
      </c>
      <c r="B81" s="3505"/>
      <c r="C81" s="1063" t="s">
        <v>1537</v>
      </c>
      <c r="D81" s="1063" t="s">
        <v>1538</v>
      </c>
      <c r="E81" s="1134">
        <v>0.2</v>
      </c>
      <c r="F81" s="1149">
        <v>30</v>
      </c>
    </row>
    <row r="82" spans="1:6" s="1100" customFormat="1" ht="48">
      <c r="A82" s="1149">
        <v>22</v>
      </c>
      <c r="B82" s="3505"/>
      <c r="C82" s="1063" t="s">
        <v>1539</v>
      </c>
      <c r="D82" s="1063" t="s">
        <v>1540</v>
      </c>
      <c r="E82" s="1134">
        <v>0.2</v>
      </c>
      <c r="F82" s="1149">
        <v>30</v>
      </c>
    </row>
    <row r="83" spans="1:6" s="1100" customFormat="1" ht="48">
      <c r="A83" s="1149">
        <v>23</v>
      </c>
      <c r="B83" s="3505"/>
      <c r="C83" s="1063" t="s">
        <v>1541</v>
      </c>
      <c r="D83" s="1063" t="s">
        <v>1542</v>
      </c>
      <c r="E83" s="1134">
        <v>0.2</v>
      </c>
      <c r="F83" s="1149">
        <v>30</v>
      </c>
    </row>
    <row r="84" spans="1:6" s="1100" customFormat="1" ht="36">
      <c r="A84" s="1149">
        <v>24</v>
      </c>
      <c r="B84" s="3505"/>
      <c r="C84" s="1063" t="s">
        <v>1543</v>
      </c>
      <c r="D84" s="1063" t="s">
        <v>1544</v>
      </c>
      <c r="E84" s="1134">
        <v>0.2</v>
      </c>
      <c r="F84" s="1149">
        <v>30</v>
      </c>
    </row>
    <row r="85" spans="1:6" s="1100" customFormat="1" ht="36">
      <c r="A85" s="1149">
        <v>25</v>
      </c>
      <c r="B85" s="3505"/>
      <c r="C85" s="1063" t="s">
        <v>1545</v>
      </c>
      <c r="D85" s="1063" t="s">
        <v>1546</v>
      </c>
      <c r="E85" s="1134">
        <v>0.5</v>
      </c>
      <c r="F85" s="1149">
        <v>80</v>
      </c>
    </row>
    <row r="86" spans="1:6" s="1100" customFormat="1" ht="36">
      <c r="A86" s="1149">
        <v>26</v>
      </c>
      <c r="B86" s="3505"/>
      <c r="C86" s="1063" t="s">
        <v>1547</v>
      </c>
      <c r="D86" s="1063" t="s">
        <v>1548</v>
      </c>
      <c r="E86" s="1134">
        <v>0.2</v>
      </c>
      <c r="F86" s="1149">
        <v>30</v>
      </c>
    </row>
    <row r="87" spans="1:6" s="1100" customFormat="1" ht="36">
      <c r="A87" s="1149">
        <v>27</v>
      </c>
      <c r="B87" s="3505"/>
      <c r="C87" s="1063" t="s">
        <v>1549</v>
      </c>
      <c r="D87" s="1063" t="s">
        <v>1550</v>
      </c>
      <c r="E87" s="1134">
        <v>0.2</v>
      </c>
      <c r="F87" s="1149">
        <v>30</v>
      </c>
    </row>
    <row r="88" spans="1:6" s="1100" customFormat="1" ht="36">
      <c r="A88" s="1149">
        <v>28</v>
      </c>
      <c r="B88" s="3505"/>
      <c r="C88" s="1063" t="s">
        <v>1551</v>
      </c>
      <c r="D88" s="1063" t="s">
        <v>1552</v>
      </c>
      <c r="E88" s="1134">
        <v>0.2</v>
      </c>
      <c r="F88" s="1149">
        <v>30</v>
      </c>
    </row>
    <row r="89" spans="1:6" s="1100" customFormat="1" ht="24">
      <c r="A89" s="1149">
        <v>29</v>
      </c>
      <c r="B89" s="3505"/>
      <c r="C89" s="1063" t="s">
        <v>1553</v>
      </c>
      <c r="D89" s="1063" t="s">
        <v>1554</v>
      </c>
      <c r="E89" s="1134">
        <v>0.2</v>
      </c>
      <c r="F89" s="1149">
        <v>30</v>
      </c>
    </row>
    <row r="90" spans="1:6" s="1100" customFormat="1" ht="24">
      <c r="A90" s="1149">
        <v>30</v>
      </c>
      <c r="B90" s="3505"/>
      <c r="C90" s="1063" t="s">
        <v>1555</v>
      </c>
      <c r="D90" s="1063" t="s">
        <v>1556</v>
      </c>
      <c r="E90" s="1134">
        <v>0.2</v>
      </c>
      <c r="F90" s="1149">
        <v>30</v>
      </c>
    </row>
    <row r="91" spans="1:6" s="1100" customFormat="1" ht="36">
      <c r="A91" s="1149">
        <v>31</v>
      </c>
      <c r="B91" s="3505"/>
      <c r="C91" s="1063" t="s">
        <v>1557</v>
      </c>
      <c r="D91" s="1063" t="s">
        <v>1558</v>
      </c>
      <c r="E91" s="1134">
        <v>0.2</v>
      </c>
      <c r="F91" s="1149">
        <v>30</v>
      </c>
    </row>
    <row r="92" spans="1:6" s="1100" customFormat="1" ht="24">
      <c r="A92" s="1149">
        <v>32</v>
      </c>
      <c r="B92" s="3505" t="s">
        <v>1559</v>
      </c>
      <c r="C92" s="1149" t="s">
        <v>1560</v>
      </c>
      <c r="D92" s="1063" t="s">
        <v>1561</v>
      </c>
      <c r="E92" s="1134">
        <v>0.2</v>
      </c>
      <c r="F92" s="1149">
        <v>30</v>
      </c>
    </row>
    <row r="93" spans="1:6" s="1100" customFormat="1" ht="36">
      <c r="A93" s="1149">
        <v>33</v>
      </c>
      <c r="B93" s="3505"/>
      <c r="C93" s="1149" t="s">
        <v>1562</v>
      </c>
      <c r="D93" s="1063" t="s">
        <v>1563</v>
      </c>
      <c r="E93" s="1134">
        <v>0.2</v>
      </c>
      <c r="F93" s="1149">
        <v>30</v>
      </c>
    </row>
    <row r="94" spans="1:6" s="1100" customFormat="1" ht="48">
      <c r="A94" s="1149">
        <v>34</v>
      </c>
      <c r="B94" s="3505"/>
      <c r="C94" s="1149" t="s">
        <v>1564</v>
      </c>
      <c r="D94" s="1063" t="s">
        <v>1565</v>
      </c>
      <c r="E94" s="1134">
        <v>0.2</v>
      </c>
      <c r="F94" s="1149">
        <v>30</v>
      </c>
    </row>
    <row r="95" spans="1:6" s="1100" customFormat="1" ht="36">
      <c r="A95" s="1149">
        <v>35</v>
      </c>
      <c r="B95" s="3505"/>
      <c r="C95" s="1149" t="s">
        <v>1566</v>
      </c>
      <c r="D95" s="1063" t="s">
        <v>1567</v>
      </c>
      <c r="E95" s="1134">
        <v>0.2</v>
      </c>
      <c r="F95" s="1149">
        <v>30</v>
      </c>
    </row>
    <row r="96" spans="1:6" s="1100" customFormat="1" ht="48">
      <c r="A96" s="1149">
        <v>36</v>
      </c>
      <c r="B96" s="3505"/>
      <c r="C96" s="1063" t="s">
        <v>1568</v>
      </c>
      <c r="D96" s="1063" t="s">
        <v>1569</v>
      </c>
      <c r="E96" s="1134">
        <v>0.2</v>
      </c>
      <c r="F96" s="1149">
        <v>30</v>
      </c>
    </row>
    <row r="97" spans="1:6" s="1100" customFormat="1" ht="36">
      <c r="A97" s="1149">
        <v>37</v>
      </c>
      <c r="B97" s="3505"/>
      <c r="C97" s="1149" t="s">
        <v>1570</v>
      </c>
      <c r="D97" s="1063" t="s">
        <v>1571</v>
      </c>
      <c r="E97" s="1134">
        <v>0.2</v>
      </c>
      <c r="F97" s="1149">
        <v>30</v>
      </c>
    </row>
    <row r="98" spans="1:6" s="1100" customFormat="1" ht="36">
      <c r="A98" s="1149">
        <v>38</v>
      </c>
      <c r="B98" s="3505"/>
      <c r="C98" s="1149" t="s">
        <v>1572</v>
      </c>
      <c r="D98" s="1063" t="s">
        <v>1573</v>
      </c>
      <c r="E98" s="1134">
        <v>0.2</v>
      </c>
      <c r="F98" s="1149">
        <v>30</v>
      </c>
    </row>
    <row r="99" spans="1:6" s="1100" customFormat="1" ht="36">
      <c r="A99" s="1149">
        <v>39</v>
      </c>
      <c r="B99" s="3505" t="s">
        <v>1574</v>
      </c>
      <c r="C99" s="1149" t="s">
        <v>1575</v>
      </c>
      <c r="D99" s="1063" t="s">
        <v>1576</v>
      </c>
      <c r="E99" s="1134">
        <v>0.3</v>
      </c>
      <c r="F99" s="1149">
        <v>50</v>
      </c>
    </row>
    <row r="100" spans="1:6" s="1100" customFormat="1" ht="24">
      <c r="A100" s="1149">
        <v>40</v>
      </c>
      <c r="B100" s="3505"/>
      <c r="C100" s="1149" t="s">
        <v>1577</v>
      </c>
      <c r="D100" s="1063" t="s">
        <v>1578</v>
      </c>
      <c r="E100" s="1134">
        <v>0.2</v>
      </c>
      <c r="F100" s="1149">
        <v>30</v>
      </c>
    </row>
    <row r="101" spans="1:6" s="1100" customFormat="1" ht="36">
      <c r="A101" s="1149">
        <v>41</v>
      </c>
      <c r="B101" s="3505"/>
      <c r="C101" s="1149" t="s">
        <v>1579</v>
      </c>
      <c r="D101" s="1063" t="s">
        <v>1576</v>
      </c>
      <c r="E101" s="1134">
        <v>0.2</v>
      </c>
      <c r="F101" s="1149">
        <v>30</v>
      </c>
    </row>
    <row r="102" spans="1:6" s="1100" customFormat="1" ht="48">
      <c r="A102" s="1149">
        <v>42</v>
      </c>
      <c r="B102" s="1149" t="s">
        <v>1580</v>
      </c>
      <c r="C102" s="1063" t="s">
        <v>1581</v>
      </c>
      <c r="D102" s="1063" t="s">
        <v>1582</v>
      </c>
      <c r="E102" s="1134">
        <v>0.2</v>
      </c>
      <c r="F102" s="1149">
        <v>30</v>
      </c>
    </row>
    <row r="103" spans="1:6" s="1100" customFormat="1" ht="24">
      <c r="A103" s="1149">
        <v>43</v>
      </c>
      <c r="B103" s="1149" t="s">
        <v>1583</v>
      </c>
      <c r="C103" s="1149" t="s">
        <v>1584</v>
      </c>
      <c r="D103" s="1063" t="s">
        <v>1585</v>
      </c>
      <c r="E103" s="1134">
        <v>0.2</v>
      </c>
      <c r="F103" s="1149">
        <v>30</v>
      </c>
    </row>
    <row r="104" spans="1:6" s="1100" customFormat="1" ht="36">
      <c r="A104" s="1149">
        <v>44</v>
      </c>
      <c r="B104" s="1149" t="s">
        <v>1586</v>
      </c>
      <c r="C104" s="1149" t="s">
        <v>1587</v>
      </c>
      <c r="D104" s="1063" t="s">
        <v>1588</v>
      </c>
      <c r="E104" s="1134">
        <v>0.2</v>
      </c>
      <c r="F104" s="1149">
        <v>30</v>
      </c>
    </row>
    <row r="105" spans="1:6" s="1100" customFormat="1" ht="36">
      <c r="A105" s="1149">
        <v>45</v>
      </c>
      <c r="B105" s="3505" t="s">
        <v>1589</v>
      </c>
      <c r="C105" s="1149" t="s">
        <v>1590</v>
      </c>
      <c r="D105" s="1063" t="s">
        <v>1591</v>
      </c>
      <c r="E105" s="1134">
        <v>0.2</v>
      </c>
      <c r="F105" s="1149">
        <v>30</v>
      </c>
    </row>
    <row r="106" spans="1:6" s="1100" customFormat="1" ht="36">
      <c r="A106" s="1149">
        <v>46</v>
      </c>
      <c r="B106" s="3505"/>
      <c r="C106" s="1149" t="s">
        <v>1592</v>
      </c>
      <c r="D106" s="1063" t="s">
        <v>1593</v>
      </c>
      <c r="E106" s="1134">
        <v>0.2</v>
      </c>
      <c r="F106" s="1149">
        <v>30</v>
      </c>
    </row>
    <row r="107" spans="1:6" s="1100" customFormat="1" ht="36">
      <c r="A107" s="1149">
        <v>47</v>
      </c>
      <c r="B107" s="3505" t="s">
        <v>1594</v>
      </c>
      <c r="C107" s="1149" t="s">
        <v>1595</v>
      </c>
      <c r="D107" s="1063" t="s">
        <v>1596</v>
      </c>
      <c r="E107" s="1134">
        <v>0.3</v>
      </c>
      <c r="F107" s="1149">
        <v>50</v>
      </c>
    </row>
    <row r="108" spans="1:6" s="1100" customFormat="1" ht="36">
      <c r="A108" s="1149">
        <v>48</v>
      </c>
      <c r="B108" s="3505"/>
      <c r="C108" s="1149" t="s">
        <v>1597</v>
      </c>
      <c r="D108" s="1063" t="s">
        <v>1598</v>
      </c>
      <c r="E108" s="1134">
        <v>0.2</v>
      </c>
      <c r="F108" s="1149">
        <v>30</v>
      </c>
    </row>
    <row r="109" spans="1:6" s="1100" customFormat="1" ht="36">
      <c r="A109" s="1149">
        <v>49</v>
      </c>
      <c r="B109" s="1149" t="s">
        <v>1599</v>
      </c>
      <c r="C109" s="1149" t="s">
        <v>1600</v>
      </c>
      <c r="D109" s="1063" t="s">
        <v>1601</v>
      </c>
      <c r="E109" s="1134">
        <v>0.2</v>
      </c>
      <c r="F109" s="1149">
        <v>30</v>
      </c>
    </row>
    <row r="110" spans="1:6" s="1100" customFormat="1" ht="36">
      <c r="A110" s="1149">
        <v>50</v>
      </c>
      <c r="B110" s="1149" t="s">
        <v>1602</v>
      </c>
      <c r="C110" s="1149" t="s">
        <v>1603</v>
      </c>
      <c r="D110" s="1063" t="s">
        <v>1604</v>
      </c>
      <c r="E110" s="1134">
        <v>0.2</v>
      </c>
      <c r="F110" s="1149">
        <v>30</v>
      </c>
    </row>
    <row r="111" spans="1:6" s="1100" customFormat="1" ht="36">
      <c r="A111" s="1149">
        <v>51</v>
      </c>
      <c r="B111" s="3505" t="s">
        <v>1605</v>
      </c>
      <c r="C111" s="1149" t="s">
        <v>1606</v>
      </c>
      <c r="D111" s="1063" t="s">
        <v>1607</v>
      </c>
      <c r="E111" s="1134">
        <v>0.2</v>
      </c>
      <c r="F111" s="1149">
        <v>30</v>
      </c>
    </row>
    <row r="112" spans="1:6" s="1100" customFormat="1" ht="24">
      <c r="A112" s="1149">
        <v>52</v>
      </c>
      <c r="B112" s="3505"/>
      <c r="C112" s="1149" t="s">
        <v>1608</v>
      </c>
      <c r="D112" s="1063" t="s">
        <v>1609</v>
      </c>
      <c r="E112" s="1134">
        <v>0.2</v>
      </c>
      <c r="F112" s="1149">
        <v>30</v>
      </c>
    </row>
    <row r="113" spans="1:14" s="1100" customFormat="1" ht="24">
      <c r="A113" s="1149">
        <v>53</v>
      </c>
      <c r="B113" s="3505"/>
      <c r="C113" s="1149" t="s">
        <v>1610</v>
      </c>
      <c r="D113" s="1063" t="s">
        <v>1611</v>
      </c>
      <c r="E113" s="1134">
        <v>0.2</v>
      </c>
      <c r="F113" s="1149">
        <v>30</v>
      </c>
    </row>
    <row r="114" spans="1:14" ht="36">
      <c r="A114" s="1149">
        <v>54</v>
      </c>
      <c r="B114" s="1149" t="s">
        <v>1612</v>
      </c>
      <c r="C114" s="1149" t="s">
        <v>1613</v>
      </c>
      <c r="D114" s="1063" t="s">
        <v>1614</v>
      </c>
      <c r="E114" s="1134">
        <v>0.2</v>
      </c>
      <c r="F114" s="1149">
        <v>30</v>
      </c>
    </row>
    <row r="115" spans="1:14" ht="24">
      <c r="A115" s="1149">
        <v>55</v>
      </c>
      <c r="B115" s="1149" t="s">
        <v>1615</v>
      </c>
      <c r="C115" s="1149" t="s">
        <v>1616</v>
      </c>
      <c r="D115" s="1063" t="s">
        <v>1617</v>
      </c>
      <c r="E115" s="1134">
        <v>0.2</v>
      </c>
      <c r="F115" s="1149">
        <v>30</v>
      </c>
    </row>
    <row r="116" spans="1:14" ht="24">
      <c r="A116" s="1149">
        <v>56</v>
      </c>
      <c r="B116" s="3505" t="s">
        <v>1618</v>
      </c>
      <c r="C116" s="1149" t="s">
        <v>1619</v>
      </c>
      <c r="D116" s="1063" t="s">
        <v>1620</v>
      </c>
      <c r="E116" s="1134">
        <v>0.2</v>
      </c>
      <c r="F116" s="1149">
        <v>30</v>
      </c>
    </row>
    <row r="117" spans="1:14" ht="36">
      <c r="A117" s="1149">
        <v>57</v>
      </c>
      <c r="B117" s="3505"/>
      <c r="C117" s="1149" t="s">
        <v>1621</v>
      </c>
      <c r="D117" s="1063" t="s">
        <v>1622</v>
      </c>
      <c r="E117" s="1134">
        <v>0.2</v>
      </c>
      <c r="F117" s="1149">
        <v>30</v>
      </c>
    </row>
    <row r="118" spans="1:14" ht="36">
      <c r="A118" s="1149">
        <v>58</v>
      </c>
      <c r="B118" s="1149" t="s">
        <v>1623</v>
      </c>
      <c r="C118" s="1149" t="s">
        <v>1624</v>
      </c>
      <c r="D118" s="1063" t="s">
        <v>1625</v>
      </c>
      <c r="E118" s="1134">
        <v>0.2</v>
      </c>
      <c r="F118" s="1149">
        <v>30</v>
      </c>
    </row>
    <row r="119" spans="1:14" ht="13.5">
      <c r="A119" s="1149"/>
      <c r="B119" s="1149"/>
      <c r="C119" s="1149"/>
      <c r="D119" s="1149"/>
      <c r="E119" s="1134"/>
      <c r="F119" s="1149"/>
    </row>
    <row r="121" spans="1:14" ht="19.5" customHeight="1">
      <c r="A121" s="3504" t="s">
        <v>1627</v>
      </c>
      <c r="B121" s="3504"/>
      <c r="C121" s="3504"/>
      <c r="D121" s="3504"/>
      <c r="E121" s="3504"/>
      <c r="F121" s="3504"/>
      <c r="G121" s="3504"/>
      <c r="H121" s="3504"/>
      <c r="I121" s="3504"/>
      <c r="J121" s="3504"/>
      <c r="K121" s="1150"/>
      <c r="L121" s="1150"/>
      <c r="M121" s="1150"/>
      <c r="N121" s="1150"/>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517" t="s">
        <v>1033</v>
      </c>
      <c r="B1" s="3517"/>
      <c r="C1" s="3517"/>
      <c r="D1" s="3517"/>
      <c r="E1" s="3517"/>
      <c r="F1" s="3517"/>
      <c r="H1" s="1065"/>
      <c r="I1" s="1066" t="s">
        <v>1034</v>
      </c>
      <c r="J1" s="1067" t="s">
        <v>1035</v>
      </c>
      <c r="K1" s="1067" t="s">
        <v>1036</v>
      </c>
      <c r="L1" s="1067" t="s">
        <v>1037</v>
      </c>
      <c r="M1" s="1067" t="s">
        <v>1038</v>
      </c>
      <c r="N1" s="1067" t="s">
        <v>1039</v>
      </c>
      <c r="O1" s="1067" t="s">
        <v>1040</v>
      </c>
      <c r="P1" s="1067" t="s">
        <v>1041</v>
      </c>
      <c r="Q1" s="1067" t="s">
        <v>1042</v>
      </c>
      <c r="R1" s="1067" t="s">
        <v>1043</v>
      </c>
      <c r="S1" s="1067" t="s">
        <v>1044</v>
      </c>
      <c r="T1" s="1068" t="s">
        <v>1045</v>
      </c>
    </row>
    <row r="2" spans="1:20" ht="14.25" thickBot="1">
      <c r="A2" s="3518" t="s">
        <v>1046</v>
      </c>
      <c r="B2" s="3518"/>
      <c r="C2" s="3518"/>
      <c r="D2" s="3518"/>
      <c r="E2" s="3518"/>
      <c r="F2" s="3518"/>
      <c r="I2" s="1069" t="s">
        <v>1047</v>
      </c>
      <c r="J2" s="1070" t="s">
        <v>1048</v>
      </c>
      <c r="K2" s="1070" t="s">
        <v>1049</v>
      </c>
      <c r="L2" s="1070" t="s">
        <v>1050</v>
      </c>
      <c r="M2" s="1070" t="s">
        <v>1051</v>
      </c>
      <c r="N2" s="1070" t="s">
        <v>1052</v>
      </c>
      <c r="O2" s="1070" t="s">
        <v>1053</v>
      </c>
      <c r="P2" s="1070" t="s">
        <v>1054</v>
      </c>
      <c r="Q2" s="1070" t="s">
        <v>1055</v>
      </c>
      <c r="R2" s="1070" t="s">
        <v>1056</v>
      </c>
      <c r="S2" s="1070" t="s">
        <v>1057</v>
      </c>
      <c r="T2" s="1070" t="s">
        <v>1058</v>
      </c>
    </row>
    <row r="3" spans="1:20" s="1065" customFormat="1" ht="19.5" customHeight="1">
      <c r="A3" s="3519" t="s">
        <v>1059</v>
      </c>
      <c r="B3" s="1071"/>
      <c r="C3" s="1072" t="s">
        <v>1060</v>
      </c>
      <c r="D3" s="1072" t="s">
        <v>1061</v>
      </c>
      <c r="E3" s="1072" t="s">
        <v>1062</v>
      </c>
      <c r="F3" s="1072" t="s">
        <v>1063</v>
      </c>
      <c r="G3" s="1073"/>
      <c r="I3" s="1069" t="s">
        <v>1064</v>
      </c>
      <c r="J3" s="1070" t="s">
        <v>1065</v>
      </c>
      <c r="K3" s="1070" t="s">
        <v>1066</v>
      </c>
      <c r="L3" s="1070" t="s">
        <v>1067</v>
      </c>
      <c r="M3" s="1070" t="s">
        <v>1068</v>
      </c>
      <c r="N3" s="1070" t="s">
        <v>1069</v>
      </c>
      <c r="O3" s="1070" t="s">
        <v>1070</v>
      </c>
      <c r="P3" s="1070" t="s">
        <v>1071</v>
      </c>
      <c r="Q3" s="1070" t="s">
        <v>1072</v>
      </c>
      <c r="R3" s="1070" t="s">
        <v>1073</v>
      </c>
      <c r="S3" s="1070" t="s">
        <v>1074</v>
      </c>
      <c r="T3" s="1070" t="s">
        <v>1075</v>
      </c>
    </row>
    <row r="4" spans="1:20" s="1065" customFormat="1" ht="19.5" customHeight="1" thickBot="1">
      <c r="A4" s="3520"/>
      <c r="B4" s="1074" t="s">
        <v>1076</v>
      </c>
      <c r="C4" s="1074" t="s">
        <v>1077</v>
      </c>
      <c r="D4" s="1074" t="s">
        <v>1077</v>
      </c>
      <c r="E4" s="1074" t="s">
        <v>1077</v>
      </c>
      <c r="F4" s="1075" t="s">
        <v>1077</v>
      </c>
      <c r="G4" s="1073"/>
      <c r="I4" s="1069" t="s">
        <v>1078</v>
      </c>
      <c r="J4" s="1070" t="s">
        <v>1079</v>
      </c>
      <c r="K4" s="1070" t="s">
        <v>1080</v>
      </c>
      <c r="L4" s="1070" t="s">
        <v>1081</v>
      </c>
      <c r="M4" s="1070" t="s">
        <v>1082</v>
      </c>
      <c r="N4" s="1070" t="s">
        <v>1083</v>
      </c>
      <c r="O4" s="1070" t="s">
        <v>1084</v>
      </c>
      <c r="P4" s="1070" t="s">
        <v>1085</v>
      </c>
      <c r="Q4" s="1070" t="s">
        <v>1086</v>
      </c>
      <c r="R4" s="1070" t="s">
        <v>1087</v>
      </c>
      <c r="S4" s="1070" t="s">
        <v>1088</v>
      </c>
      <c r="T4" s="1070" t="s">
        <v>1089</v>
      </c>
    </row>
    <row r="5" spans="1:20" ht="14.25" customHeight="1" thickBot="1">
      <c r="A5" s="1076" t="s">
        <v>1090</v>
      </c>
      <c r="B5" s="1077" t="s">
        <v>1047</v>
      </c>
      <c r="C5" s="1077">
        <v>29530</v>
      </c>
      <c r="D5" s="1077">
        <v>28130</v>
      </c>
      <c r="E5" s="1077">
        <v>27930</v>
      </c>
      <c r="F5" s="1078">
        <v>11300</v>
      </c>
      <c r="G5" s="1079" t="s">
        <v>1034</v>
      </c>
      <c r="H5" s="1080">
        <f>SUMPRODUCT((B5:B9=基准地价!I2)*(C3:F3=基准地价!E2)*(C5:F9))</f>
        <v>0</v>
      </c>
      <c r="I5" s="1069" t="s">
        <v>1091</v>
      </c>
      <c r="J5" s="1070" t="s">
        <v>1092</v>
      </c>
      <c r="K5" s="1070" t="s">
        <v>1093</v>
      </c>
      <c r="L5" s="1070" t="s">
        <v>1094</v>
      </c>
      <c r="M5" s="1070" t="s">
        <v>1095</v>
      </c>
      <c r="N5" s="1070" t="s">
        <v>1096</v>
      </c>
      <c r="O5" s="1070" t="s">
        <v>1097</v>
      </c>
      <c r="P5" s="1070" t="s">
        <v>1098</v>
      </c>
      <c r="Q5" s="1070" t="s">
        <v>1099</v>
      </c>
      <c r="R5" s="1070" t="s">
        <v>1100</v>
      </c>
      <c r="S5" s="1070" t="s">
        <v>1101</v>
      </c>
      <c r="T5" s="1070" t="s">
        <v>1102</v>
      </c>
    </row>
    <row r="6" spans="1:20" ht="14.25" customHeight="1" thickBot="1">
      <c r="A6" s="1076" t="s">
        <v>1090</v>
      </c>
      <c r="B6" s="1070" t="s">
        <v>1103</v>
      </c>
      <c r="C6" s="1070">
        <v>30290</v>
      </c>
      <c r="D6" s="1070">
        <v>29210</v>
      </c>
      <c r="E6" s="1070">
        <v>28860</v>
      </c>
      <c r="F6" s="1081">
        <v>12600</v>
      </c>
      <c r="G6" s="1082" t="s">
        <v>1104</v>
      </c>
      <c r="H6" s="1083">
        <f>SUMPRODUCT((B10:B28=基准地价!I2)*(C3:F3=基准地价!E2)*(C10:F28))</f>
        <v>0</v>
      </c>
      <c r="I6" s="1069" t="s">
        <v>1105</v>
      </c>
      <c r="J6" s="1070" t="s">
        <v>1106</v>
      </c>
      <c r="K6" s="1070" t="s">
        <v>1107</v>
      </c>
      <c r="L6" s="1070" t="s">
        <v>1108</v>
      </c>
      <c r="M6" s="1070" t="s">
        <v>1109</v>
      </c>
      <c r="N6" s="1070" t="s">
        <v>1110</v>
      </c>
      <c r="O6" s="1070" t="s">
        <v>1111</v>
      </c>
      <c r="P6" s="1070" t="s">
        <v>1112</v>
      </c>
      <c r="Q6" s="1070" t="s">
        <v>1113</v>
      </c>
      <c r="R6" s="1070" t="s">
        <v>1114</v>
      </c>
      <c r="S6" s="1070" t="s">
        <v>1115</v>
      </c>
      <c r="T6" s="1070" t="s">
        <v>1116</v>
      </c>
    </row>
    <row r="7" spans="1:20" ht="14.25" customHeight="1" thickBot="1">
      <c r="A7" s="1076" t="s">
        <v>1090</v>
      </c>
      <c r="B7" s="1084" t="s">
        <v>1078</v>
      </c>
      <c r="C7" s="1070">
        <v>29350</v>
      </c>
      <c r="D7" s="1070">
        <v>28410</v>
      </c>
      <c r="E7" s="1070">
        <v>27990</v>
      </c>
      <c r="F7" s="1081">
        <v>12300</v>
      </c>
      <c r="G7" s="1082" t="s">
        <v>902</v>
      </c>
      <c r="H7" s="1083">
        <f>SUMPRODUCT((B29:B48=基准地价!I2)*(C3:F3=基准地价!E2)*(C29:F48))</f>
        <v>0</v>
      </c>
      <c r="J7" s="1070" t="s">
        <v>1117</v>
      </c>
      <c r="K7" s="1070" t="s">
        <v>1118</v>
      </c>
      <c r="L7" s="1070" t="s">
        <v>1119</v>
      </c>
      <c r="M7" s="1070" t="s">
        <v>1120</v>
      </c>
      <c r="N7" s="1070" t="s">
        <v>1121</v>
      </c>
      <c r="O7" s="1070" t="s">
        <v>1122</v>
      </c>
      <c r="P7" s="1070" t="s">
        <v>1123</v>
      </c>
      <c r="Q7" s="1070" t="s">
        <v>1124</v>
      </c>
      <c r="R7" s="1070" t="s">
        <v>1125</v>
      </c>
      <c r="S7" s="1070" t="s">
        <v>1126</v>
      </c>
      <c r="T7" s="1084" t="s">
        <v>1127</v>
      </c>
    </row>
    <row r="8" spans="1:20" ht="14.25" customHeight="1" thickBot="1">
      <c r="A8" s="1076" t="s">
        <v>1090</v>
      </c>
      <c r="B8" s="1070" t="s">
        <v>1091</v>
      </c>
      <c r="C8" s="1070">
        <v>30890</v>
      </c>
      <c r="D8" s="1070">
        <v>29780</v>
      </c>
      <c r="E8" s="1070">
        <v>29270</v>
      </c>
      <c r="F8" s="1081">
        <v>11600</v>
      </c>
      <c r="G8" s="1082" t="s">
        <v>903</v>
      </c>
      <c r="H8" s="1083">
        <f>SUMPRODUCT((B49:B75=基准地价!I2)*(C3:F3=基准地价!E2)*(C49:F75))</f>
        <v>0</v>
      </c>
      <c r="J8" s="1070" t="s">
        <v>1128</v>
      </c>
      <c r="K8" s="1070" t="s">
        <v>1129</v>
      </c>
      <c r="L8" s="1070" t="s">
        <v>1130</v>
      </c>
      <c r="M8" s="1070" t="s">
        <v>1131</v>
      </c>
      <c r="N8" s="1070" t="s">
        <v>1132</v>
      </c>
      <c r="O8" s="1070" t="s">
        <v>1133</v>
      </c>
      <c r="P8" s="1070" t="s">
        <v>1134</v>
      </c>
      <c r="Q8" s="1070" t="s">
        <v>1135</v>
      </c>
      <c r="R8" s="1070" t="s">
        <v>1136</v>
      </c>
      <c r="S8" s="1070" t="s">
        <v>1137</v>
      </c>
      <c r="T8" s="1070" t="s">
        <v>1138</v>
      </c>
    </row>
    <row r="9" spans="1:20" ht="14.25" customHeight="1" thickBot="1">
      <c r="A9" s="1076" t="s">
        <v>1090</v>
      </c>
      <c r="B9" s="1085" t="s">
        <v>1105</v>
      </c>
      <c r="C9" s="1086">
        <v>28140</v>
      </c>
      <c r="D9" s="1086"/>
      <c r="E9" s="1086"/>
      <c r="F9" s="1087"/>
      <c r="G9" s="1082" t="s">
        <v>904</v>
      </c>
      <c r="H9" s="1083">
        <f>SUMPRODUCT((B76:B109=基准地价!I2)*(C3:F3=基准地价!E2)*(C76:F109))</f>
        <v>0</v>
      </c>
      <c r="J9" s="1070" t="s">
        <v>1139</v>
      </c>
      <c r="K9" s="1070" t="s">
        <v>1140</v>
      </c>
      <c r="L9" s="1070" t="s">
        <v>1141</v>
      </c>
      <c r="M9" s="1070" t="s">
        <v>1142</v>
      </c>
      <c r="N9" s="1070" t="s">
        <v>1143</v>
      </c>
      <c r="O9" s="1070" t="s">
        <v>1144</v>
      </c>
      <c r="P9" s="1070" t="s">
        <v>1145</v>
      </c>
      <c r="Q9" s="1070" t="s">
        <v>1146</v>
      </c>
      <c r="R9" s="1070" t="s">
        <v>1147</v>
      </c>
      <c r="S9" s="1070" t="s">
        <v>1148</v>
      </c>
    </row>
    <row r="10" spans="1:20" ht="14.25" customHeight="1" thickBot="1">
      <c r="A10" s="1076" t="s">
        <v>1149</v>
      </c>
      <c r="B10" s="1077" t="s">
        <v>1150</v>
      </c>
      <c r="C10" s="1077">
        <v>27450</v>
      </c>
      <c r="D10" s="1077">
        <v>26180</v>
      </c>
      <c r="E10" s="1077">
        <v>25980</v>
      </c>
      <c r="F10" s="1078">
        <v>8910</v>
      </c>
      <c r="G10" s="1082" t="s">
        <v>905</v>
      </c>
      <c r="H10" s="1083">
        <f>SUMPRODUCT((B110:B157=基准地价!I2)*(C3:F3=基准地价!E2)*(C110:F157))</f>
        <v>0</v>
      </c>
      <c r="J10" s="1070" t="s">
        <v>1151</v>
      </c>
      <c r="K10" s="1070" t="s">
        <v>1152</v>
      </c>
      <c r="L10" s="1070" t="s">
        <v>1153</v>
      </c>
      <c r="M10" s="1070" t="s">
        <v>1154</v>
      </c>
      <c r="N10" s="1070" t="s">
        <v>1155</v>
      </c>
      <c r="O10" s="1070" t="s">
        <v>1156</v>
      </c>
      <c r="P10" s="1070" t="s">
        <v>1157</v>
      </c>
      <c r="Q10" s="1070" t="s">
        <v>1158</v>
      </c>
      <c r="R10" s="1070" t="s">
        <v>1159</v>
      </c>
      <c r="S10" s="1070" t="s">
        <v>1160</v>
      </c>
    </row>
    <row r="11" spans="1:20" ht="14.25" customHeight="1" thickBot="1">
      <c r="A11" s="1076" t="s">
        <v>1149</v>
      </c>
      <c r="B11" s="1084" t="s">
        <v>1065</v>
      </c>
      <c r="C11" s="1070">
        <v>22950</v>
      </c>
      <c r="D11" s="1070">
        <v>22630</v>
      </c>
      <c r="E11" s="1070">
        <v>22030</v>
      </c>
      <c r="F11" s="1088">
        <v>8330</v>
      </c>
      <c r="G11" s="1082" t="s">
        <v>906</v>
      </c>
      <c r="H11" s="1083">
        <f>SUMPRODUCT((B158:B205=基准地价!I2)*(C3:F3=基准地价!E2)*(C158:F205))</f>
        <v>0</v>
      </c>
      <c r="J11" s="1070" t="s">
        <v>1161</v>
      </c>
      <c r="K11" s="1070" t="s">
        <v>1162</v>
      </c>
      <c r="L11" s="1070" t="s">
        <v>1163</v>
      </c>
      <c r="M11" s="1070" t="s">
        <v>1164</v>
      </c>
      <c r="N11" s="1070" t="s">
        <v>1165</v>
      </c>
      <c r="O11" s="1070" t="s">
        <v>1166</v>
      </c>
      <c r="P11" s="1070" t="s">
        <v>1167</v>
      </c>
      <c r="Q11" s="1070" t="s">
        <v>1168</v>
      </c>
      <c r="R11" s="1070" t="s">
        <v>1169</v>
      </c>
      <c r="S11" s="1070" t="s">
        <v>1170</v>
      </c>
    </row>
    <row r="12" spans="1:20" ht="14.25" customHeight="1" thickBot="1">
      <c r="A12" s="1076" t="s">
        <v>1149</v>
      </c>
      <c r="B12" s="1084" t="s">
        <v>1079</v>
      </c>
      <c r="C12" s="1070">
        <v>24940</v>
      </c>
      <c r="D12" s="1070">
        <v>23180</v>
      </c>
      <c r="E12" s="1070">
        <v>22910</v>
      </c>
      <c r="F12" s="1088">
        <v>7180</v>
      </c>
      <c r="G12" s="1082" t="s">
        <v>907</v>
      </c>
      <c r="H12" s="1083">
        <f>SUMPRODUCT((B206:B244=基准地价!I2)*(C3:F3=基准地价!E2)*(C206:F244))</f>
        <v>0</v>
      </c>
      <c r="J12" s="1070" t="s">
        <v>1171</v>
      </c>
      <c r="K12" s="1070" t="s">
        <v>1172</v>
      </c>
      <c r="L12" s="1070" t="s">
        <v>1173</v>
      </c>
      <c r="M12" s="1070" t="s">
        <v>1174</v>
      </c>
      <c r="N12" s="1070" t="s">
        <v>1175</v>
      </c>
      <c r="O12" s="1070" t="s">
        <v>1176</v>
      </c>
      <c r="P12" s="1070" t="s">
        <v>1177</v>
      </c>
      <c r="Q12" s="1070" t="s">
        <v>1178</v>
      </c>
      <c r="R12" s="1070" t="s">
        <v>1179</v>
      </c>
      <c r="S12" s="1070" t="s">
        <v>1180</v>
      </c>
    </row>
    <row r="13" spans="1:20" ht="14.25" customHeight="1" thickBot="1">
      <c r="A13" s="1076" t="s">
        <v>1149</v>
      </c>
      <c r="B13" s="1084" t="s">
        <v>1092</v>
      </c>
      <c r="C13" s="1070">
        <v>24140</v>
      </c>
      <c r="D13" s="1070">
        <v>22270</v>
      </c>
      <c r="E13" s="1070">
        <v>21950</v>
      </c>
      <c r="F13" s="1088">
        <v>7600</v>
      </c>
      <c r="G13" s="1082" t="s">
        <v>908</v>
      </c>
      <c r="H13" s="1083">
        <f>SUMPRODUCT((B245:B289=基准地价!I2)*(C3:F3=基准地价!E2)*(C245:F289))</f>
        <v>0</v>
      </c>
      <c r="J13" s="1070" t="s">
        <v>1181</v>
      </c>
      <c r="K13" s="1070" t="s">
        <v>1182</v>
      </c>
      <c r="L13" s="1070" t="s">
        <v>1183</v>
      </c>
      <c r="M13" s="1070" t="s">
        <v>1184</v>
      </c>
      <c r="N13" s="1070" t="s">
        <v>1185</v>
      </c>
      <c r="O13" s="1070" t="s">
        <v>1186</v>
      </c>
      <c r="P13" s="1070" t="s">
        <v>1187</v>
      </c>
      <c r="Q13" s="1070" t="s">
        <v>1188</v>
      </c>
      <c r="R13" s="1070" t="s">
        <v>1189</v>
      </c>
      <c r="S13" s="1070" t="s">
        <v>1190</v>
      </c>
    </row>
    <row r="14" spans="1:20" ht="14.25" customHeight="1" thickBot="1">
      <c r="A14" s="1076" t="s">
        <v>1149</v>
      </c>
      <c r="B14" s="1084" t="s">
        <v>1106</v>
      </c>
      <c r="C14" s="1070">
        <v>25600</v>
      </c>
      <c r="D14" s="1070">
        <v>22260</v>
      </c>
      <c r="E14" s="1070">
        <v>22110</v>
      </c>
      <c r="F14" s="1088">
        <v>7630</v>
      </c>
      <c r="G14" s="1082" t="s">
        <v>909</v>
      </c>
      <c r="H14" s="1083">
        <f>SUMPRODUCT((B290:B316=基准地价!I2)*(C3:F3=基准地价!E2)*(C290:F316))</f>
        <v>0</v>
      </c>
      <c r="J14" s="1070" t="s">
        <v>1191</v>
      </c>
      <c r="K14" s="1070" t="s">
        <v>1192</v>
      </c>
      <c r="L14" s="1070" t="s">
        <v>1193</v>
      </c>
      <c r="M14" s="1070" t="s">
        <v>1194</v>
      </c>
      <c r="N14" s="1070" t="s">
        <v>1195</v>
      </c>
      <c r="O14" s="1070" t="s">
        <v>1196</v>
      </c>
      <c r="P14" s="1070" t="s">
        <v>1197</v>
      </c>
      <c r="Q14" s="1070" t="s">
        <v>1198</v>
      </c>
      <c r="R14" s="1070" t="s">
        <v>1199</v>
      </c>
      <c r="S14" s="1070" t="s">
        <v>1200</v>
      </c>
    </row>
    <row r="15" spans="1:20" ht="14.25" customHeight="1" thickBot="1">
      <c r="A15" s="1076" t="s">
        <v>1149</v>
      </c>
      <c r="B15" s="1084" t="s">
        <v>1117</v>
      </c>
      <c r="C15" s="1070">
        <v>24760</v>
      </c>
      <c r="D15" s="1070">
        <v>24440</v>
      </c>
      <c r="E15" s="1070">
        <v>24130</v>
      </c>
      <c r="F15" s="1088">
        <v>9480</v>
      </c>
      <c r="G15" s="1082" t="s">
        <v>910</v>
      </c>
      <c r="H15" s="1083">
        <f>SUMPRODUCT((B317:B337=基准地价!I2)*(C3:F3=基准地价!E2)*(C317:F337))</f>
        <v>0</v>
      </c>
      <c r="J15" s="1070" t="s">
        <v>1201</v>
      </c>
      <c r="K15" s="1070" t="s">
        <v>1202</v>
      </c>
      <c r="L15" s="1070" t="s">
        <v>1203</v>
      </c>
      <c r="M15" s="1070" t="s">
        <v>1204</v>
      </c>
      <c r="N15" s="1070" t="s">
        <v>1205</v>
      </c>
      <c r="O15" s="1070" t="s">
        <v>1206</v>
      </c>
      <c r="P15" s="1070" t="s">
        <v>1207</v>
      </c>
      <c r="Q15" s="1070" t="s">
        <v>1208</v>
      </c>
      <c r="R15" s="1070" t="s">
        <v>1209</v>
      </c>
      <c r="S15" s="1070" t="s">
        <v>1210</v>
      </c>
    </row>
    <row r="16" spans="1:20" ht="14.25" customHeight="1" thickBot="1">
      <c r="A16" s="1076" t="s">
        <v>1149</v>
      </c>
      <c r="B16" s="1084" t="s">
        <v>1128</v>
      </c>
      <c r="C16" s="1070">
        <v>22220</v>
      </c>
      <c r="D16" s="1070">
        <v>22310</v>
      </c>
      <c r="E16" s="1070">
        <v>22000</v>
      </c>
      <c r="F16" s="1088">
        <v>8900</v>
      </c>
      <c r="G16" s="1089" t="s">
        <v>911</v>
      </c>
      <c r="H16" s="1090">
        <f>SUMPRODUCT((B338:B344=基准地价!I2)*(C3:F3=基准地价!E2)*(C338:F344))</f>
        <v>0</v>
      </c>
      <c r="J16" s="1070" t="s">
        <v>1211</v>
      </c>
      <c r="K16" s="1070" t="s">
        <v>1212</v>
      </c>
      <c r="L16" s="1070" t="s">
        <v>1213</v>
      </c>
      <c r="M16" s="1070" t="s">
        <v>1214</v>
      </c>
      <c r="N16" s="1070" t="s">
        <v>1215</v>
      </c>
      <c r="O16" s="1070" t="s">
        <v>1216</v>
      </c>
      <c r="P16" s="1070" t="s">
        <v>1217</v>
      </c>
      <c r="Q16" s="1070" t="s">
        <v>1218</v>
      </c>
      <c r="R16" s="1070" t="s">
        <v>1219</v>
      </c>
      <c r="S16" s="1070" t="s">
        <v>1220</v>
      </c>
    </row>
    <row r="17" spans="1:19" ht="14.25" customHeight="1" thickBot="1">
      <c r="A17" s="1076" t="s">
        <v>1149</v>
      </c>
      <c r="B17" s="1084" t="s">
        <v>1139</v>
      </c>
      <c r="C17" s="1070">
        <v>24700</v>
      </c>
      <c r="D17" s="1070">
        <v>25150</v>
      </c>
      <c r="E17" s="1070">
        <v>24700</v>
      </c>
      <c r="F17" s="1091"/>
      <c r="H17" s="1092"/>
      <c r="J17" s="1070" t="s">
        <v>1221</v>
      </c>
      <c r="K17" s="1070" t="s">
        <v>1222</v>
      </c>
      <c r="L17" s="1070" t="s">
        <v>1223</v>
      </c>
      <c r="M17" s="1070" t="s">
        <v>1224</v>
      </c>
      <c r="N17" s="1070" t="s">
        <v>1225</v>
      </c>
      <c r="O17" s="1070" t="s">
        <v>1226</v>
      </c>
      <c r="P17" s="1070" t="s">
        <v>1227</v>
      </c>
      <c r="Q17" s="1070" t="s">
        <v>1228</v>
      </c>
      <c r="R17" s="1070" t="s">
        <v>1229</v>
      </c>
      <c r="S17" s="1070" t="s">
        <v>1230</v>
      </c>
    </row>
    <row r="18" spans="1:19" ht="14.25" customHeight="1" thickBot="1">
      <c r="A18" s="1076" t="s">
        <v>1149</v>
      </c>
      <c r="B18" s="1084" t="s">
        <v>1151</v>
      </c>
      <c r="C18" s="1070">
        <v>22350</v>
      </c>
      <c r="D18" s="1070">
        <v>24340</v>
      </c>
      <c r="E18" s="1070">
        <v>24100</v>
      </c>
      <c r="F18" s="1091"/>
      <c r="H18" s="1092"/>
      <c r="J18" s="1070" t="s">
        <v>1231</v>
      </c>
      <c r="K18" s="1070" t="s">
        <v>1232</v>
      </c>
      <c r="L18" s="1070" t="s">
        <v>1233</v>
      </c>
      <c r="M18" s="1070" t="s">
        <v>1234</v>
      </c>
      <c r="N18" s="1070" t="s">
        <v>1235</v>
      </c>
      <c r="O18" s="1070" t="s">
        <v>1236</v>
      </c>
      <c r="P18" s="1070" t="s">
        <v>1237</v>
      </c>
      <c r="Q18" s="1070" t="s">
        <v>1238</v>
      </c>
      <c r="R18" s="1070" t="s">
        <v>1239</v>
      </c>
      <c r="S18" s="1070" t="s">
        <v>1240</v>
      </c>
    </row>
    <row r="19" spans="1:19" ht="14.25" customHeight="1" thickBot="1">
      <c r="A19" s="1076" t="s">
        <v>1149</v>
      </c>
      <c r="B19" s="1084" t="s">
        <v>1161</v>
      </c>
      <c r="C19" s="1070">
        <v>23430</v>
      </c>
      <c r="D19" s="1070">
        <v>21580</v>
      </c>
      <c r="E19" s="1070">
        <v>21350</v>
      </c>
      <c r="F19" s="1091"/>
      <c r="H19" s="1092"/>
      <c r="J19" s="1070" t="s">
        <v>1241</v>
      </c>
      <c r="K19" s="1070" t="s">
        <v>1242</v>
      </c>
      <c r="L19" s="1070" t="s">
        <v>1243</v>
      </c>
      <c r="M19" s="1070" t="s">
        <v>1244</v>
      </c>
      <c r="N19" s="1070" t="s">
        <v>1245</v>
      </c>
      <c r="O19" s="1070" t="s">
        <v>1246</v>
      </c>
      <c r="P19" s="1070" t="s">
        <v>1247</v>
      </c>
      <c r="Q19" s="1070" t="s">
        <v>1248</v>
      </c>
      <c r="R19" s="1070" t="s">
        <v>1249</v>
      </c>
      <c r="S19" s="1070" t="s">
        <v>1250</v>
      </c>
    </row>
    <row r="20" spans="1:19" ht="14.25" customHeight="1" thickBot="1">
      <c r="A20" s="1076" t="s">
        <v>1149</v>
      </c>
      <c r="B20" s="1084" t="s">
        <v>1171</v>
      </c>
      <c r="C20" s="1070">
        <v>27660</v>
      </c>
      <c r="D20" s="1070">
        <v>24240</v>
      </c>
      <c r="E20" s="1070">
        <v>24020</v>
      </c>
      <c r="F20" s="1091"/>
      <c r="J20" s="1070" t="s">
        <v>1251</v>
      </c>
      <c r="K20" s="1070" t="s">
        <v>1252</v>
      </c>
      <c r="L20" s="1070" t="s">
        <v>1253</v>
      </c>
      <c r="M20" s="1070" t="s">
        <v>1254</v>
      </c>
      <c r="N20" s="1070" t="s">
        <v>1255</v>
      </c>
      <c r="O20" s="1070" t="s">
        <v>1256</v>
      </c>
      <c r="P20" s="1070" t="s">
        <v>1257</v>
      </c>
      <c r="Q20" s="1070" t="s">
        <v>1258</v>
      </c>
      <c r="R20" s="1070" t="s">
        <v>1259</v>
      </c>
      <c r="S20" s="1070" t="s">
        <v>1260</v>
      </c>
    </row>
    <row r="21" spans="1:19" ht="14.25" customHeight="1" thickBot="1">
      <c r="A21" s="1076" t="s">
        <v>1149</v>
      </c>
      <c r="B21" s="1084" t="s">
        <v>1181</v>
      </c>
      <c r="C21" s="1070">
        <v>24720</v>
      </c>
      <c r="D21" s="1070">
        <v>21670</v>
      </c>
      <c r="E21" s="1070">
        <v>21510</v>
      </c>
      <c r="F21" s="1091"/>
      <c r="K21" s="1070" t="s">
        <v>1261</v>
      </c>
      <c r="L21" s="1070" t="s">
        <v>1262</v>
      </c>
      <c r="M21" s="1070" t="s">
        <v>1263</v>
      </c>
      <c r="N21" s="1070" t="s">
        <v>1264</v>
      </c>
      <c r="O21" s="1070" t="s">
        <v>1265</v>
      </c>
      <c r="P21" s="1070" t="s">
        <v>1266</v>
      </c>
      <c r="Q21" s="1070" t="s">
        <v>1267</v>
      </c>
      <c r="R21" s="1070" t="s">
        <v>1268</v>
      </c>
      <c r="S21" s="1070" t="s">
        <v>1269</v>
      </c>
    </row>
    <row r="22" spans="1:19" ht="14.25" customHeight="1" thickBot="1">
      <c r="A22" s="1076" t="s">
        <v>1149</v>
      </c>
      <c r="B22" s="1084" t="s">
        <v>1270</v>
      </c>
      <c r="C22" s="1070">
        <v>26530</v>
      </c>
      <c r="D22" s="1070">
        <v>22980</v>
      </c>
      <c r="E22" s="1070">
        <v>22650</v>
      </c>
      <c r="F22" s="1091"/>
      <c r="L22" s="1070" t="s">
        <v>1271</v>
      </c>
      <c r="M22" s="1070" t="s">
        <v>1272</v>
      </c>
      <c r="N22" s="1070" t="s">
        <v>1273</v>
      </c>
      <c r="O22" s="1070" t="s">
        <v>1274</v>
      </c>
      <c r="P22" s="1070" t="s">
        <v>1275</v>
      </c>
      <c r="Q22" s="1070" t="s">
        <v>1276</v>
      </c>
      <c r="R22" s="1070" t="s">
        <v>1277</v>
      </c>
      <c r="S22" s="1084" t="s">
        <v>1278</v>
      </c>
    </row>
    <row r="23" spans="1:19" ht="14.25" customHeight="1" thickBot="1">
      <c r="A23" s="1076" t="s">
        <v>1149</v>
      </c>
      <c r="B23" s="1084" t="s">
        <v>1201</v>
      </c>
      <c r="C23" s="1070">
        <v>24700</v>
      </c>
      <c r="D23" s="1070">
        <v>27290</v>
      </c>
      <c r="E23" s="1070">
        <v>26710</v>
      </c>
      <c r="F23" s="1091"/>
      <c r="L23" s="1070" t="s">
        <v>1279</v>
      </c>
      <c r="M23" s="1070" t="s">
        <v>1280</v>
      </c>
      <c r="N23" s="1070" t="s">
        <v>1281</v>
      </c>
      <c r="O23" s="1070" t="s">
        <v>1282</v>
      </c>
      <c r="P23" s="1070" t="s">
        <v>1283</v>
      </c>
      <c r="Q23" s="1070" t="s">
        <v>1284</v>
      </c>
      <c r="R23" s="1070" t="s">
        <v>1285</v>
      </c>
    </row>
    <row r="24" spans="1:19" ht="14.25" customHeight="1" thickBot="1">
      <c r="A24" s="1076" t="s">
        <v>1149</v>
      </c>
      <c r="B24" s="1084" t="s">
        <v>1211</v>
      </c>
      <c r="C24" s="1070">
        <v>23070</v>
      </c>
      <c r="D24" s="1070">
        <v>24130</v>
      </c>
      <c r="E24" s="1070">
        <v>23860</v>
      </c>
      <c r="F24" s="1091"/>
      <c r="L24" s="1070" t="s">
        <v>1286</v>
      </c>
      <c r="M24" s="1070" t="s">
        <v>1287</v>
      </c>
      <c r="N24" s="1070" t="s">
        <v>1288</v>
      </c>
      <c r="O24" s="1070" t="s">
        <v>1289</v>
      </c>
      <c r="P24" s="1070" t="s">
        <v>1290</v>
      </c>
      <c r="Q24" s="1070" t="s">
        <v>1291</v>
      </c>
      <c r="R24" s="1070" t="s">
        <v>1292</v>
      </c>
    </row>
    <row r="25" spans="1:19" ht="14.25" customHeight="1" thickBot="1">
      <c r="A25" s="1076" t="s">
        <v>1149</v>
      </c>
      <c r="B25" s="1084" t="s">
        <v>1221</v>
      </c>
      <c r="C25" s="1070">
        <v>27550</v>
      </c>
      <c r="D25" s="1070">
        <v>25850</v>
      </c>
      <c r="E25" s="1070">
        <v>25340</v>
      </c>
      <c r="F25" s="1091"/>
      <c r="L25" s="1070" t="s">
        <v>1293</v>
      </c>
      <c r="M25" s="1070" t="s">
        <v>1294</v>
      </c>
      <c r="N25" s="1070" t="s">
        <v>1295</v>
      </c>
      <c r="O25" s="1070" t="s">
        <v>1296</v>
      </c>
      <c r="P25" s="1070" t="s">
        <v>1297</v>
      </c>
      <c r="Q25" s="1070" t="s">
        <v>1298</v>
      </c>
      <c r="R25" s="1070" t="s">
        <v>1299</v>
      </c>
    </row>
    <row r="26" spans="1:19" ht="14.25" customHeight="1" thickBot="1">
      <c r="A26" s="1076" t="s">
        <v>1149</v>
      </c>
      <c r="B26" s="1084" t="s">
        <v>1231</v>
      </c>
      <c r="C26" s="1070"/>
      <c r="D26" s="1070">
        <v>23900</v>
      </c>
      <c r="E26" s="1070">
        <v>23590</v>
      </c>
      <c r="F26" s="1091"/>
      <c r="L26" s="1070" t="s">
        <v>1300</v>
      </c>
      <c r="M26" s="1070" t="s">
        <v>1301</v>
      </c>
      <c r="N26" s="1070" t="s">
        <v>1302</v>
      </c>
      <c r="O26" s="1070" t="s">
        <v>1303</v>
      </c>
      <c r="P26" s="1070" t="s">
        <v>1304</v>
      </c>
      <c r="Q26" s="1070" t="s">
        <v>1305</v>
      </c>
      <c r="R26" s="1070" t="s">
        <v>1306</v>
      </c>
    </row>
    <row r="27" spans="1:19" ht="14.25" customHeight="1" thickBot="1">
      <c r="A27" s="1076" t="s">
        <v>1149</v>
      </c>
      <c r="B27" s="1084" t="s">
        <v>1241</v>
      </c>
      <c r="C27" s="1070"/>
      <c r="D27" s="1070">
        <v>22850</v>
      </c>
      <c r="E27" s="1070">
        <v>21920</v>
      </c>
      <c r="F27" s="1091"/>
      <c r="L27" s="1070" t="s">
        <v>1307</v>
      </c>
      <c r="M27" s="1070" t="s">
        <v>1308</v>
      </c>
      <c r="N27" s="1070" t="s">
        <v>1309</v>
      </c>
      <c r="O27" s="1070" t="s">
        <v>1310</v>
      </c>
      <c r="P27" s="1070" t="s">
        <v>1311</v>
      </c>
      <c r="Q27" s="1070" t="s">
        <v>1312</v>
      </c>
      <c r="R27" s="1070" t="s">
        <v>1313</v>
      </c>
    </row>
    <row r="28" spans="1:19" ht="14.25" customHeight="1" thickBot="1">
      <c r="A28" s="1093" t="s">
        <v>1149</v>
      </c>
      <c r="B28" s="1085" t="s">
        <v>1251</v>
      </c>
      <c r="C28" s="1086"/>
      <c r="D28" s="1086">
        <v>26610</v>
      </c>
      <c r="E28" s="1086">
        <v>26370</v>
      </c>
      <c r="F28" s="1087"/>
      <c r="L28" s="1070" t="s">
        <v>1314</v>
      </c>
      <c r="M28" s="1070" t="s">
        <v>1315</v>
      </c>
      <c r="N28" s="1070" t="s">
        <v>1316</v>
      </c>
      <c r="O28" s="1070" t="s">
        <v>1317</v>
      </c>
      <c r="P28" s="1070" t="s">
        <v>1318</v>
      </c>
      <c r="Q28" s="1070" t="s">
        <v>1319</v>
      </c>
    </row>
    <row r="29" spans="1:19" ht="14.25" customHeight="1" thickBot="1">
      <c r="A29" s="1076" t="s">
        <v>1320</v>
      </c>
      <c r="B29" s="1077" t="s">
        <v>1321</v>
      </c>
      <c r="C29" s="1077">
        <v>22090</v>
      </c>
      <c r="D29" s="1077">
        <v>21860</v>
      </c>
      <c r="E29" s="1077">
        <v>19380</v>
      </c>
      <c r="F29" s="1078">
        <v>6610</v>
      </c>
      <c r="M29" s="1070" t="s">
        <v>1322</v>
      </c>
      <c r="N29" s="1070" t="s">
        <v>1323</v>
      </c>
      <c r="O29" s="1070" t="s">
        <v>1324</v>
      </c>
      <c r="P29" s="1070" t="s">
        <v>1325</v>
      </c>
      <c r="Q29" s="1070" t="s">
        <v>1326</v>
      </c>
    </row>
    <row r="30" spans="1:19" ht="14.25" customHeight="1" thickBot="1">
      <c r="A30" s="1076" t="s">
        <v>1320</v>
      </c>
      <c r="B30" s="1084" t="s">
        <v>1066</v>
      </c>
      <c r="C30" s="1070">
        <v>21380</v>
      </c>
      <c r="D30" s="1070">
        <v>19930</v>
      </c>
      <c r="E30" s="1070">
        <v>19860</v>
      </c>
      <c r="F30" s="1088">
        <v>6010</v>
      </c>
      <c r="H30" s="1092"/>
      <c r="M30" s="1070" t="s">
        <v>1327</v>
      </c>
      <c r="N30" s="1070" t="s">
        <v>1328</v>
      </c>
      <c r="O30" s="1070" t="s">
        <v>1329</v>
      </c>
      <c r="P30" s="1070" t="s">
        <v>2417</v>
      </c>
      <c r="Q30" s="1070" t="s">
        <v>1330</v>
      </c>
    </row>
    <row r="31" spans="1:19" ht="14.25" customHeight="1" thickBot="1">
      <c r="A31" s="1076" t="s">
        <v>1320</v>
      </c>
      <c r="B31" s="1084" t="s">
        <v>1080</v>
      </c>
      <c r="C31" s="1070">
        <v>21670</v>
      </c>
      <c r="D31" s="1070">
        <v>20660</v>
      </c>
      <c r="E31" s="1070">
        <v>20290</v>
      </c>
      <c r="F31" s="1088">
        <v>5840</v>
      </c>
      <c r="H31" s="1092"/>
      <c r="M31" s="1070" t="s">
        <v>1331</v>
      </c>
      <c r="N31" s="1070" t="s">
        <v>1332</v>
      </c>
      <c r="O31" s="1070" t="s">
        <v>1333</v>
      </c>
      <c r="P31" s="1070" t="s">
        <v>1334</v>
      </c>
      <c r="Q31" s="1070" t="s">
        <v>1335</v>
      </c>
    </row>
    <row r="32" spans="1:19" ht="14.25" customHeight="1" thickBot="1">
      <c r="A32" s="1076" t="s">
        <v>1320</v>
      </c>
      <c r="B32" s="1084" t="s">
        <v>1093</v>
      </c>
      <c r="C32" s="1070">
        <v>22280</v>
      </c>
      <c r="D32" s="1070">
        <v>21800</v>
      </c>
      <c r="E32" s="1070">
        <v>17650</v>
      </c>
      <c r="F32" s="1088">
        <v>4690</v>
      </c>
      <c r="H32" s="1092"/>
      <c r="M32" s="1070" t="s">
        <v>1336</v>
      </c>
      <c r="N32" s="1070" t="s">
        <v>1337</v>
      </c>
      <c r="O32" s="1070" t="s">
        <v>1338</v>
      </c>
      <c r="P32" s="1070" t="s">
        <v>1339</v>
      </c>
      <c r="Q32" s="1070" t="s">
        <v>1340</v>
      </c>
    </row>
    <row r="33" spans="1:17" ht="14.25" customHeight="1" thickBot="1">
      <c r="A33" s="1076" t="s">
        <v>1320</v>
      </c>
      <c r="B33" s="1084" t="s">
        <v>1107</v>
      </c>
      <c r="C33" s="1070">
        <v>22130</v>
      </c>
      <c r="D33" s="1070">
        <v>20460</v>
      </c>
      <c r="E33" s="1070">
        <v>18500</v>
      </c>
      <c r="F33" s="1088">
        <v>5340</v>
      </c>
      <c r="H33" s="1092"/>
      <c r="M33" s="1070" t="s">
        <v>1341</v>
      </c>
      <c r="N33" s="1070" t="s">
        <v>1342</v>
      </c>
      <c r="O33" s="1070" t="s">
        <v>1343</v>
      </c>
      <c r="P33" s="1070" t="s">
        <v>1344</v>
      </c>
      <c r="Q33" s="1070" t="s">
        <v>1345</v>
      </c>
    </row>
    <row r="34" spans="1:17" ht="14.25" customHeight="1" thickBot="1">
      <c r="A34" s="1076" t="s">
        <v>1320</v>
      </c>
      <c r="B34" s="1084" t="s">
        <v>1118</v>
      </c>
      <c r="C34" s="1070">
        <v>22070</v>
      </c>
      <c r="D34" s="1070">
        <v>20110</v>
      </c>
      <c r="E34" s="1070">
        <v>18830</v>
      </c>
      <c r="F34" s="1088">
        <v>5190</v>
      </c>
      <c r="H34" s="1092"/>
      <c r="M34" s="1070" t="s">
        <v>1346</v>
      </c>
      <c r="N34" s="1070" t="s">
        <v>1347</v>
      </c>
      <c r="O34" s="1070" t="s">
        <v>1348</v>
      </c>
      <c r="P34" s="1070" t="s">
        <v>1349</v>
      </c>
      <c r="Q34" s="1070" t="s">
        <v>1350</v>
      </c>
    </row>
    <row r="35" spans="1:17" ht="14.25" customHeight="1" thickBot="1">
      <c r="A35" s="1076" t="s">
        <v>1320</v>
      </c>
      <c r="B35" s="1084" t="s">
        <v>1129</v>
      </c>
      <c r="C35" s="1070">
        <v>22240</v>
      </c>
      <c r="D35" s="1070">
        <v>19550</v>
      </c>
      <c r="E35" s="1070">
        <v>19220</v>
      </c>
      <c r="F35" s="1088">
        <v>5800</v>
      </c>
      <c r="H35" s="1092"/>
      <c r="M35" s="1070" t="s">
        <v>1351</v>
      </c>
      <c r="N35" s="1070" t="s">
        <v>1352</v>
      </c>
      <c r="O35" s="1070" t="s">
        <v>1353</v>
      </c>
      <c r="P35" s="1070" t="s">
        <v>1354</v>
      </c>
      <c r="Q35" s="1070" t="s">
        <v>1355</v>
      </c>
    </row>
    <row r="36" spans="1:17" ht="14.25" customHeight="1" thickBot="1">
      <c r="A36" s="1076" t="s">
        <v>1320</v>
      </c>
      <c r="B36" s="1084" t="s">
        <v>1140</v>
      </c>
      <c r="C36" s="1070">
        <v>19750</v>
      </c>
      <c r="D36" s="1070">
        <v>19790</v>
      </c>
      <c r="E36" s="1070">
        <v>18510</v>
      </c>
      <c r="F36" s="1088">
        <v>6520</v>
      </c>
      <c r="H36" s="1092"/>
      <c r="N36" s="1070" t="s">
        <v>1356</v>
      </c>
      <c r="O36" s="1070" t="s">
        <v>1357</v>
      </c>
      <c r="P36" s="1070" t="s">
        <v>1358</v>
      </c>
      <c r="Q36" s="1070" t="s">
        <v>1359</v>
      </c>
    </row>
    <row r="37" spans="1:17" ht="14.25" customHeight="1" thickBot="1">
      <c r="A37" s="1076" t="s">
        <v>1320</v>
      </c>
      <c r="B37" s="1084" t="s">
        <v>1152</v>
      </c>
      <c r="C37" s="1070">
        <v>22380</v>
      </c>
      <c r="D37" s="1070">
        <v>18530</v>
      </c>
      <c r="E37" s="1070">
        <v>17930</v>
      </c>
      <c r="F37" s="1088">
        <v>6270</v>
      </c>
      <c r="H37" s="1094"/>
      <c r="N37" s="1070" t="s">
        <v>1360</v>
      </c>
      <c r="O37" s="1070" t="s">
        <v>1361</v>
      </c>
      <c r="P37" s="1070" t="s">
        <v>1362</v>
      </c>
      <c r="Q37" s="1070" t="s">
        <v>1363</v>
      </c>
    </row>
    <row r="38" spans="1:17" ht="14.25" customHeight="1" thickBot="1">
      <c r="A38" s="1076" t="s">
        <v>1320</v>
      </c>
      <c r="B38" s="1084" t="s">
        <v>1162</v>
      </c>
      <c r="C38" s="1070">
        <v>20200</v>
      </c>
      <c r="D38" s="1070">
        <v>20070</v>
      </c>
      <c r="E38" s="1070">
        <v>19950</v>
      </c>
      <c r="F38" s="1088"/>
      <c r="H38" s="1095"/>
      <c r="N38" s="1070" t="s">
        <v>1364</v>
      </c>
      <c r="O38" s="1070" t="s">
        <v>1365</v>
      </c>
      <c r="P38" s="1070" t="s">
        <v>1366</v>
      </c>
      <c r="Q38" s="1070" t="s">
        <v>1367</v>
      </c>
    </row>
    <row r="39" spans="1:17" ht="14.25" customHeight="1" thickBot="1">
      <c r="A39" s="1076" t="s">
        <v>1320</v>
      </c>
      <c r="B39" s="1084" t="s">
        <v>1172</v>
      </c>
      <c r="C39" s="1070">
        <v>19300</v>
      </c>
      <c r="D39" s="1070">
        <v>20360</v>
      </c>
      <c r="E39" s="1070">
        <v>20230</v>
      </c>
      <c r="F39" s="1088"/>
      <c r="H39" s="1095"/>
      <c r="N39" s="1070" t="s">
        <v>1368</v>
      </c>
      <c r="O39" s="1070" t="s">
        <v>1369</v>
      </c>
      <c r="P39" s="1070" t="s">
        <v>1370</v>
      </c>
      <c r="Q39" s="1070" t="s">
        <v>1371</v>
      </c>
    </row>
    <row r="40" spans="1:17" ht="14.25" customHeight="1" thickBot="1">
      <c r="A40" s="1076" t="s">
        <v>1320</v>
      </c>
      <c r="B40" s="1084" t="s">
        <v>1182</v>
      </c>
      <c r="C40" s="1070">
        <v>20210</v>
      </c>
      <c r="D40" s="1070">
        <v>19060</v>
      </c>
      <c r="E40" s="1070">
        <v>18890</v>
      </c>
      <c r="F40" s="1088"/>
      <c r="H40" s="1095"/>
      <c r="N40" s="1070" t="s">
        <v>1372</v>
      </c>
      <c r="O40" s="1070" t="s">
        <v>1373</v>
      </c>
      <c r="P40" s="1070" t="s">
        <v>1374</v>
      </c>
      <c r="Q40" s="1070" t="s">
        <v>1375</v>
      </c>
    </row>
    <row r="41" spans="1:17" ht="14.25" customHeight="1" thickBot="1">
      <c r="A41" s="1076" t="s">
        <v>1320</v>
      </c>
      <c r="B41" s="1084" t="s">
        <v>1192</v>
      </c>
      <c r="C41" s="1070">
        <v>20560</v>
      </c>
      <c r="D41" s="1070">
        <v>21040</v>
      </c>
      <c r="E41" s="1070">
        <v>20740</v>
      </c>
      <c r="F41" s="1088"/>
      <c r="H41" s="1095"/>
      <c r="N41" s="1084" t="s">
        <v>1376</v>
      </c>
      <c r="O41" s="1084" t="s">
        <v>1377</v>
      </c>
      <c r="Q41" s="1084" t="s">
        <v>1378</v>
      </c>
    </row>
    <row r="42" spans="1:17" ht="14.25" customHeight="1" thickBot="1">
      <c r="A42" s="1076" t="s">
        <v>1320</v>
      </c>
      <c r="B42" s="1084" t="s">
        <v>1202</v>
      </c>
      <c r="C42" s="1070">
        <v>19280</v>
      </c>
      <c r="D42" s="1070">
        <v>22940</v>
      </c>
      <c r="E42" s="1070">
        <v>22500</v>
      </c>
      <c r="F42" s="1088"/>
      <c r="H42" s="1095"/>
      <c r="N42" s="1070" t="s">
        <v>1379</v>
      </c>
      <c r="O42" s="1070" t="s">
        <v>1380</v>
      </c>
      <c r="Q42" s="1070" t="s">
        <v>1381</v>
      </c>
    </row>
    <row r="43" spans="1:17" ht="14.25" customHeight="1" thickBot="1">
      <c r="A43" s="1076" t="s">
        <v>1320</v>
      </c>
      <c r="B43" s="1084" t="s">
        <v>1212</v>
      </c>
      <c r="C43" s="1070">
        <v>21520</v>
      </c>
      <c r="D43" s="1070">
        <v>19230</v>
      </c>
      <c r="E43" s="1070">
        <v>18540</v>
      </c>
      <c r="F43" s="1088"/>
      <c r="H43" s="1095"/>
      <c r="N43" s="1070" t="s">
        <v>1382</v>
      </c>
      <c r="O43" s="1070" t="s">
        <v>1383</v>
      </c>
      <c r="Q43" s="1070" t="s">
        <v>1384</v>
      </c>
    </row>
    <row r="44" spans="1:17" ht="14.25" customHeight="1" thickBot="1">
      <c r="A44" s="1076" t="s">
        <v>1320</v>
      </c>
      <c r="B44" s="1084" t="s">
        <v>1222</v>
      </c>
      <c r="C44" s="1070">
        <v>23260</v>
      </c>
      <c r="D44" s="1070">
        <v>21180</v>
      </c>
      <c r="E44" s="1070">
        <v>20730</v>
      </c>
      <c r="F44" s="1088"/>
      <c r="H44" s="1095"/>
      <c r="N44" s="1070" t="s">
        <v>1385</v>
      </c>
      <c r="O44" s="1070" t="s">
        <v>1386</v>
      </c>
      <c r="Q44" s="1070" t="s">
        <v>1387</v>
      </c>
    </row>
    <row r="45" spans="1:17" ht="14.25" customHeight="1" thickBot="1">
      <c r="A45" s="1076" t="s">
        <v>1320</v>
      </c>
      <c r="B45" s="1084" t="s">
        <v>1232</v>
      </c>
      <c r="C45" s="1070">
        <v>19610</v>
      </c>
      <c r="D45" s="1070">
        <v>18090</v>
      </c>
      <c r="E45" s="1070">
        <v>17970</v>
      </c>
      <c r="F45" s="1088"/>
      <c r="H45" s="1092"/>
      <c r="N45" s="1070" t="s">
        <v>1388</v>
      </c>
      <c r="O45" s="1070" t="s">
        <v>1389</v>
      </c>
      <c r="Q45" s="1070" t="s">
        <v>1390</v>
      </c>
    </row>
    <row r="46" spans="1:17" ht="14.25" customHeight="1" thickBot="1">
      <c r="A46" s="1076" t="s">
        <v>1320</v>
      </c>
      <c r="B46" s="1084" t="s">
        <v>1242</v>
      </c>
      <c r="C46" s="1070">
        <v>21660</v>
      </c>
      <c r="D46" s="1070">
        <v>19190</v>
      </c>
      <c r="E46" s="1070">
        <v>19790</v>
      </c>
      <c r="F46" s="1088"/>
      <c r="H46" s="1095"/>
      <c r="N46" s="1070" t="s">
        <v>1391</v>
      </c>
      <c r="O46" s="1070" t="s">
        <v>1392</v>
      </c>
      <c r="Q46" s="1070" t="s">
        <v>1393</v>
      </c>
    </row>
    <row r="47" spans="1:17" ht="14.25" customHeight="1" thickBot="1">
      <c r="A47" s="1076" t="s">
        <v>1320</v>
      </c>
      <c r="B47" s="1084" t="s">
        <v>1252</v>
      </c>
      <c r="C47" s="1070">
        <v>18220</v>
      </c>
      <c r="D47" s="1070"/>
      <c r="E47" s="1070">
        <v>17220</v>
      </c>
      <c r="F47" s="1088"/>
      <c r="H47" s="1095"/>
      <c r="N47" s="1070" t="s">
        <v>1394</v>
      </c>
      <c r="O47" s="1070" t="s">
        <v>1395</v>
      </c>
    </row>
    <row r="48" spans="1:17" ht="14.25" customHeight="1" thickBot="1">
      <c r="A48" s="1076" t="s">
        <v>1320</v>
      </c>
      <c r="B48" s="1085" t="s">
        <v>1261</v>
      </c>
      <c r="C48" s="1086">
        <v>19430</v>
      </c>
      <c r="D48" s="1086"/>
      <c r="E48" s="1086">
        <v>17830</v>
      </c>
      <c r="F48" s="1096"/>
      <c r="H48" s="1092"/>
      <c r="N48" s="1070" t="s">
        <v>1396</v>
      </c>
      <c r="O48" s="1070" t="s">
        <v>1397</v>
      </c>
    </row>
    <row r="49" spans="1:15" ht="14.25" customHeight="1" thickBot="1">
      <c r="A49" s="1076" t="s">
        <v>918</v>
      </c>
      <c r="B49" s="1077" t="s">
        <v>1398</v>
      </c>
      <c r="C49" s="1077">
        <v>17090</v>
      </c>
      <c r="D49" s="1077">
        <v>16950</v>
      </c>
      <c r="E49" s="1077">
        <v>16310</v>
      </c>
      <c r="F49" s="1078">
        <v>4540</v>
      </c>
      <c r="H49" s="1095"/>
      <c r="N49" s="1070" t="s">
        <v>1399</v>
      </c>
      <c r="O49" s="1070" t="s">
        <v>1400</v>
      </c>
    </row>
    <row r="50" spans="1:15" ht="14.25" customHeight="1" thickBot="1">
      <c r="A50" s="1076" t="s">
        <v>918</v>
      </c>
      <c r="B50" s="1070" t="s">
        <v>1067</v>
      </c>
      <c r="C50" s="1070">
        <v>19040</v>
      </c>
      <c r="D50" s="1070">
        <v>16960</v>
      </c>
      <c r="E50" s="1070">
        <v>14800</v>
      </c>
      <c r="F50" s="1088">
        <v>3940</v>
      </c>
      <c r="H50" s="1095"/>
    </row>
    <row r="51" spans="1:15" ht="14.25" customHeight="1" thickBot="1">
      <c r="A51" s="1076" t="s">
        <v>918</v>
      </c>
      <c r="B51" s="1070" t="s">
        <v>1081</v>
      </c>
      <c r="C51" s="1070">
        <v>17040</v>
      </c>
      <c r="D51" s="1070">
        <v>16930</v>
      </c>
      <c r="E51" s="1070">
        <v>15030</v>
      </c>
      <c r="F51" s="1088">
        <v>4120</v>
      </c>
      <c r="H51" s="1095"/>
    </row>
    <row r="52" spans="1:15" ht="14.25" customHeight="1" thickBot="1">
      <c r="A52" s="1076" t="s">
        <v>918</v>
      </c>
      <c r="B52" s="1070" t="s">
        <v>1094</v>
      </c>
      <c r="C52" s="1070">
        <v>17110</v>
      </c>
      <c r="D52" s="1070">
        <v>17750</v>
      </c>
      <c r="E52" s="1070">
        <v>17310</v>
      </c>
      <c r="F52" s="1088">
        <v>3220</v>
      </c>
      <c r="H52" s="1095"/>
    </row>
    <row r="53" spans="1:15" ht="14.25" customHeight="1" thickBot="1">
      <c r="A53" s="1076" t="s">
        <v>918</v>
      </c>
      <c r="B53" s="1070" t="s">
        <v>1108</v>
      </c>
      <c r="C53" s="1070">
        <v>17810</v>
      </c>
      <c r="D53" s="1070">
        <v>17260</v>
      </c>
      <c r="E53" s="1070">
        <v>17090</v>
      </c>
      <c r="F53" s="1088">
        <v>3520</v>
      </c>
      <c r="H53" s="1095"/>
    </row>
    <row r="54" spans="1:15" ht="14.25" customHeight="1" thickBot="1">
      <c r="A54" s="1076" t="s">
        <v>918</v>
      </c>
      <c r="B54" s="1070" t="s">
        <v>1119</v>
      </c>
      <c r="C54" s="1070">
        <v>17410</v>
      </c>
      <c r="D54" s="1070">
        <v>16780</v>
      </c>
      <c r="E54" s="1070">
        <v>16370</v>
      </c>
      <c r="F54" s="1088">
        <v>3410</v>
      </c>
      <c r="H54" s="1095"/>
    </row>
    <row r="55" spans="1:15" ht="14.25" customHeight="1" thickBot="1">
      <c r="A55" s="1076" t="s">
        <v>918</v>
      </c>
      <c r="B55" s="1070" t="s">
        <v>1130</v>
      </c>
      <c r="C55" s="1070">
        <v>16930</v>
      </c>
      <c r="D55" s="1070">
        <v>14720</v>
      </c>
      <c r="E55" s="1070">
        <v>15000</v>
      </c>
      <c r="F55" s="1088">
        <v>3710</v>
      </c>
      <c r="H55" s="1095"/>
    </row>
    <row r="56" spans="1:15" ht="14.25" customHeight="1" thickBot="1">
      <c r="A56" s="1076" t="s">
        <v>918</v>
      </c>
      <c r="B56" s="1070" t="s">
        <v>1141</v>
      </c>
      <c r="C56" s="1070">
        <v>14930</v>
      </c>
      <c r="D56" s="1070">
        <v>15850</v>
      </c>
      <c r="E56" s="1070">
        <v>14320</v>
      </c>
      <c r="F56" s="1088">
        <v>3960</v>
      </c>
      <c r="H56" s="1095"/>
    </row>
    <row r="57" spans="1:15" ht="14.25" customHeight="1" thickBot="1">
      <c r="A57" s="1076" t="s">
        <v>918</v>
      </c>
      <c r="B57" s="1070" t="s">
        <v>1153</v>
      </c>
      <c r="C57" s="1070">
        <v>16160</v>
      </c>
      <c r="D57" s="1070">
        <v>16190</v>
      </c>
      <c r="E57" s="1070">
        <v>15650</v>
      </c>
      <c r="F57" s="1088">
        <v>4200</v>
      </c>
      <c r="H57" s="1095"/>
    </row>
    <row r="58" spans="1:15" ht="14.25" customHeight="1" thickBot="1">
      <c r="A58" s="1076" t="s">
        <v>918</v>
      </c>
      <c r="B58" s="1070" t="s">
        <v>1163</v>
      </c>
      <c r="C58" s="1070">
        <v>16360</v>
      </c>
      <c r="D58" s="1070">
        <v>14050</v>
      </c>
      <c r="E58" s="1070">
        <v>16070</v>
      </c>
      <c r="F58" s="1088">
        <v>3990</v>
      </c>
      <c r="H58" s="1095"/>
    </row>
    <row r="59" spans="1:15" ht="14.25" customHeight="1" thickBot="1">
      <c r="A59" s="1076" t="s">
        <v>918</v>
      </c>
      <c r="B59" s="1070" t="s">
        <v>1173</v>
      </c>
      <c r="C59" s="1070">
        <v>14160</v>
      </c>
      <c r="D59" s="1070">
        <v>16620</v>
      </c>
      <c r="E59" s="1070">
        <v>13940</v>
      </c>
      <c r="F59" s="1088">
        <v>4260</v>
      </c>
      <c r="H59" s="1095"/>
    </row>
    <row r="60" spans="1:15" ht="14.25" customHeight="1" thickBot="1">
      <c r="A60" s="1076" t="s">
        <v>918</v>
      </c>
      <c r="B60" s="1070" t="s">
        <v>1183</v>
      </c>
      <c r="C60" s="1070">
        <v>16750</v>
      </c>
      <c r="D60" s="1070">
        <v>13910</v>
      </c>
      <c r="E60" s="1070">
        <v>16550</v>
      </c>
      <c r="F60" s="1088">
        <v>4550</v>
      </c>
      <c r="H60" s="1095"/>
    </row>
    <row r="61" spans="1:15" ht="14.25" customHeight="1" thickBot="1">
      <c r="A61" s="1076" t="s">
        <v>918</v>
      </c>
      <c r="B61" s="1070" t="s">
        <v>1193</v>
      </c>
      <c r="C61" s="1070">
        <v>14000</v>
      </c>
      <c r="D61" s="1070">
        <v>14550</v>
      </c>
      <c r="E61" s="1070">
        <v>13860</v>
      </c>
      <c r="F61" s="1097"/>
      <c r="H61" s="1095"/>
    </row>
    <row r="62" spans="1:15" ht="14.25" customHeight="1" thickBot="1">
      <c r="A62" s="1076" t="s">
        <v>918</v>
      </c>
      <c r="B62" s="1070" t="s">
        <v>1203</v>
      </c>
      <c r="C62" s="1070">
        <v>14660</v>
      </c>
      <c r="D62" s="1070">
        <v>17450</v>
      </c>
      <c r="E62" s="1070">
        <v>14470</v>
      </c>
      <c r="F62" s="1097"/>
      <c r="H62" s="1095"/>
    </row>
    <row r="63" spans="1:15" ht="14.25" customHeight="1" thickBot="1">
      <c r="A63" s="1076" t="s">
        <v>918</v>
      </c>
      <c r="B63" s="1070" t="s">
        <v>1213</v>
      </c>
      <c r="C63" s="1070">
        <v>17610</v>
      </c>
      <c r="D63" s="1070">
        <v>16500</v>
      </c>
      <c r="E63" s="1070">
        <v>17330</v>
      </c>
      <c r="F63" s="1097"/>
      <c r="H63" s="1095"/>
    </row>
    <row r="64" spans="1:15" ht="14.25" customHeight="1" thickBot="1">
      <c r="A64" s="1076" t="s">
        <v>918</v>
      </c>
      <c r="B64" s="1070" t="s">
        <v>1223</v>
      </c>
      <c r="C64" s="1070">
        <v>16590</v>
      </c>
      <c r="D64" s="1070">
        <v>15130</v>
      </c>
      <c r="E64" s="1070">
        <v>16420</v>
      </c>
      <c r="F64" s="1097"/>
      <c r="H64" s="1095"/>
    </row>
    <row r="65" spans="1:8" s="1064" customFormat="1" ht="14.25" customHeight="1" thickBot="1">
      <c r="A65" s="1076" t="s">
        <v>918</v>
      </c>
      <c r="B65" s="1070" t="s">
        <v>1233</v>
      </c>
      <c r="C65" s="1070">
        <v>15220</v>
      </c>
      <c r="D65" s="1070">
        <v>14660</v>
      </c>
      <c r="E65" s="1070">
        <v>15060</v>
      </c>
      <c r="F65" s="1088"/>
      <c r="H65" s="1095"/>
    </row>
    <row r="66" spans="1:8" s="1064" customFormat="1" ht="14.25" customHeight="1" thickBot="1">
      <c r="A66" s="1076" t="s">
        <v>918</v>
      </c>
      <c r="B66" s="1070" t="s">
        <v>1243</v>
      </c>
      <c r="C66" s="1070">
        <v>14720</v>
      </c>
      <c r="D66" s="1070">
        <v>15970</v>
      </c>
      <c r="E66" s="1070">
        <v>14610</v>
      </c>
      <c r="F66" s="1088"/>
      <c r="H66" s="1095"/>
    </row>
    <row r="67" spans="1:8" s="1064" customFormat="1" ht="14.25" customHeight="1" thickBot="1">
      <c r="A67" s="1076" t="s">
        <v>918</v>
      </c>
      <c r="B67" s="1070" t="s">
        <v>1253</v>
      </c>
      <c r="C67" s="1070">
        <v>16080</v>
      </c>
      <c r="D67" s="1070">
        <v>14840</v>
      </c>
      <c r="E67" s="1070">
        <v>15630</v>
      </c>
      <c r="F67" s="1088"/>
      <c r="H67" s="1095"/>
    </row>
    <row r="68" spans="1:8" s="1064" customFormat="1" ht="14.25" customHeight="1" thickBot="1">
      <c r="A68" s="1076" t="s">
        <v>918</v>
      </c>
      <c r="B68" s="1070" t="s">
        <v>1262</v>
      </c>
      <c r="C68" s="1070">
        <v>14940</v>
      </c>
      <c r="D68" s="1070">
        <v>18000</v>
      </c>
      <c r="E68" s="1070">
        <v>14040</v>
      </c>
      <c r="F68" s="1088"/>
      <c r="H68" s="1095"/>
    </row>
    <row r="69" spans="1:8" s="1064" customFormat="1" ht="14.25" customHeight="1" thickBot="1">
      <c r="A69" s="1076" t="s">
        <v>918</v>
      </c>
      <c r="B69" s="1070" t="s">
        <v>1271</v>
      </c>
      <c r="C69" s="1070">
        <v>18810</v>
      </c>
      <c r="D69" s="1070">
        <v>15100</v>
      </c>
      <c r="E69" s="1070">
        <v>14710</v>
      </c>
      <c r="F69" s="1088"/>
      <c r="H69" s="1095"/>
    </row>
    <row r="70" spans="1:8" s="1064" customFormat="1" ht="14.25" customHeight="1" thickBot="1">
      <c r="A70" s="1076" t="s">
        <v>918</v>
      </c>
      <c r="B70" s="1070" t="s">
        <v>1279</v>
      </c>
      <c r="C70" s="1070">
        <v>18270</v>
      </c>
      <c r="D70" s="1070"/>
      <c r="E70" s="1070"/>
      <c r="F70" s="1088"/>
      <c r="H70" s="1095"/>
    </row>
    <row r="71" spans="1:8" s="1064" customFormat="1" ht="14.25" customHeight="1" thickBot="1">
      <c r="A71" s="1076" t="s">
        <v>918</v>
      </c>
      <c r="B71" s="1070" t="s">
        <v>1286</v>
      </c>
      <c r="C71" s="1070">
        <v>15230</v>
      </c>
      <c r="D71" s="1070"/>
      <c r="E71" s="1070"/>
      <c r="F71" s="1088"/>
      <c r="H71" s="1095"/>
    </row>
    <row r="72" spans="1:8" s="1064" customFormat="1" ht="14.25" customHeight="1" thickBot="1">
      <c r="A72" s="1076" t="s">
        <v>918</v>
      </c>
      <c r="B72" s="1070" t="s">
        <v>1293</v>
      </c>
      <c r="C72" s="1070"/>
      <c r="D72" s="1070"/>
      <c r="E72" s="1070"/>
      <c r="F72" s="1088">
        <v>4120</v>
      </c>
      <c r="H72" s="1095"/>
    </row>
    <row r="73" spans="1:8" s="1064" customFormat="1" ht="14.25" customHeight="1" thickBot="1">
      <c r="A73" s="1076" t="s">
        <v>918</v>
      </c>
      <c r="B73" s="1070" t="s">
        <v>1300</v>
      </c>
      <c r="C73" s="1070"/>
      <c r="D73" s="1070"/>
      <c r="E73" s="1070"/>
      <c r="F73" s="1088">
        <v>3930</v>
      </c>
      <c r="H73" s="1095"/>
    </row>
    <row r="74" spans="1:8" s="1064" customFormat="1" ht="14.25" customHeight="1" thickBot="1">
      <c r="A74" s="1076" t="s">
        <v>918</v>
      </c>
      <c r="B74" s="1070" t="s">
        <v>1307</v>
      </c>
      <c r="C74" s="1070"/>
      <c r="D74" s="1070"/>
      <c r="E74" s="1070"/>
      <c r="F74" s="1088">
        <v>4060</v>
      </c>
      <c r="H74" s="1095"/>
    </row>
    <row r="75" spans="1:8" s="1064" customFormat="1" ht="14.25" customHeight="1" thickBot="1">
      <c r="A75" s="1076" t="s">
        <v>918</v>
      </c>
      <c r="B75" s="1086" t="s">
        <v>1314</v>
      </c>
      <c r="C75" s="1086"/>
      <c r="D75" s="1086"/>
      <c r="E75" s="1086"/>
      <c r="F75" s="1096">
        <v>3750</v>
      </c>
      <c r="H75" s="1095"/>
    </row>
    <row r="76" spans="1:8" s="1064" customFormat="1" ht="14.25" customHeight="1" thickBot="1">
      <c r="A76" s="1076" t="s">
        <v>1401</v>
      </c>
      <c r="B76" s="1077" t="s">
        <v>1402</v>
      </c>
      <c r="C76" s="1077">
        <v>14690</v>
      </c>
      <c r="D76" s="1077">
        <v>14640</v>
      </c>
      <c r="E76" s="1077">
        <v>14590</v>
      </c>
      <c r="F76" s="1078">
        <v>3060</v>
      </c>
      <c r="H76" s="1095"/>
    </row>
    <row r="77" spans="1:8" s="1064" customFormat="1" ht="14.25" customHeight="1" thickBot="1">
      <c r="A77" s="1076" t="s">
        <v>1401</v>
      </c>
      <c r="B77" s="1070" t="s">
        <v>1068</v>
      </c>
      <c r="C77" s="1070">
        <v>12550</v>
      </c>
      <c r="D77" s="1070">
        <v>12480</v>
      </c>
      <c r="E77" s="1070">
        <v>12450</v>
      </c>
      <c r="F77" s="1088">
        <v>2590</v>
      </c>
      <c r="H77" s="1095"/>
    </row>
    <row r="78" spans="1:8" s="1064" customFormat="1" ht="14.25" customHeight="1" thickBot="1">
      <c r="A78" s="1076" t="s">
        <v>1401</v>
      </c>
      <c r="B78" s="1070" t="s">
        <v>1082</v>
      </c>
      <c r="C78" s="1070">
        <v>14360</v>
      </c>
      <c r="D78" s="1070">
        <v>14320</v>
      </c>
      <c r="E78" s="1070">
        <v>12510</v>
      </c>
      <c r="F78" s="1088">
        <v>2700</v>
      </c>
      <c r="H78" s="1095"/>
    </row>
    <row r="79" spans="1:8" s="1064" customFormat="1" ht="14.25" customHeight="1" thickBot="1">
      <c r="A79" s="1076" t="s">
        <v>1401</v>
      </c>
      <c r="B79" s="1070" t="s">
        <v>1095</v>
      </c>
      <c r="C79" s="1070">
        <v>12590</v>
      </c>
      <c r="D79" s="1070">
        <v>12540</v>
      </c>
      <c r="E79" s="1070">
        <v>12350</v>
      </c>
      <c r="F79" s="1088">
        <v>2740</v>
      </c>
      <c r="H79" s="1095"/>
    </row>
    <row r="80" spans="1:8" s="1064" customFormat="1" ht="14.25" customHeight="1" thickBot="1">
      <c r="A80" s="1076" t="s">
        <v>1401</v>
      </c>
      <c r="B80" s="1070" t="s">
        <v>1109</v>
      </c>
      <c r="C80" s="1070">
        <v>12450</v>
      </c>
      <c r="D80" s="1070">
        <v>12370</v>
      </c>
      <c r="E80" s="1070">
        <v>10790</v>
      </c>
      <c r="F80" s="1088">
        <v>2290</v>
      </c>
      <c r="H80" s="1095"/>
    </row>
    <row r="81" spans="1:8" s="1064" customFormat="1" ht="14.25" customHeight="1" thickBot="1">
      <c r="A81" s="1076" t="s">
        <v>1401</v>
      </c>
      <c r="B81" s="1070" t="s">
        <v>1120</v>
      </c>
      <c r="C81" s="1070">
        <v>14210</v>
      </c>
      <c r="D81" s="1070">
        <v>14150</v>
      </c>
      <c r="E81" s="1070">
        <v>12730</v>
      </c>
      <c r="F81" s="1088">
        <v>2240</v>
      </c>
      <c r="H81" s="1095"/>
    </row>
    <row r="82" spans="1:8" s="1064" customFormat="1" ht="14.25" customHeight="1" thickBot="1">
      <c r="A82" s="1076" t="s">
        <v>1401</v>
      </c>
      <c r="B82" s="1070" t="s">
        <v>1131</v>
      </c>
      <c r="C82" s="1070">
        <v>10860</v>
      </c>
      <c r="D82" s="1070">
        <v>10820</v>
      </c>
      <c r="E82" s="1070">
        <v>14720</v>
      </c>
      <c r="F82" s="1088">
        <v>2490</v>
      </c>
      <c r="H82" s="1095"/>
    </row>
    <row r="83" spans="1:8" s="1064" customFormat="1" ht="14.25" customHeight="1" thickBot="1">
      <c r="A83" s="1076" t="s">
        <v>1401</v>
      </c>
      <c r="B83" s="1070" t="s">
        <v>1142</v>
      </c>
      <c r="C83" s="1070">
        <v>12810</v>
      </c>
      <c r="D83" s="1070">
        <v>12760</v>
      </c>
      <c r="E83" s="1070">
        <v>14830</v>
      </c>
      <c r="F83" s="1088">
        <v>2450</v>
      </c>
      <c r="H83" s="1095"/>
    </row>
    <row r="84" spans="1:8" s="1064" customFormat="1" ht="14.25" customHeight="1" thickBot="1">
      <c r="A84" s="1076" t="s">
        <v>1401</v>
      </c>
      <c r="B84" s="1070" t="s">
        <v>1154</v>
      </c>
      <c r="C84" s="1070">
        <v>14950</v>
      </c>
      <c r="D84" s="1070">
        <v>14810</v>
      </c>
      <c r="E84" s="1070">
        <v>12590</v>
      </c>
      <c r="F84" s="1088">
        <v>2540</v>
      </c>
      <c r="H84" s="1095"/>
    </row>
    <row r="85" spans="1:8" s="1064" customFormat="1" ht="14.25" customHeight="1" thickBot="1">
      <c r="A85" s="1076" t="s">
        <v>1401</v>
      </c>
      <c r="B85" s="1070" t="s">
        <v>1164</v>
      </c>
      <c r="C85" s="1070">
        <v>14960</v>
      </c>
      <c r="D85" s="1070">
        <v>14890</v>
      </c>
      <c r="E85" s="1070">
        <v>12840</v>
      </c>
      <c r="F85" s="1088">
        <v>2840</v>
      </c>
      <c r="H85" s="1095"/>
    </row>
    <row r="86" spans="1:8" s="1064" customFormat="1" ht="14.25" customHeight="1" thickBot="1">
      <c r="A86" s="1076" t="s">
        <v>1401</v>
      </c>
      <c r="B86" s="1070" t="s">
        <v>1174</v>
      </c>
      <c r="C86" s="1070">
        <v>12730</v>
      </c>
      <c r="D86" s="1070">
        <v>12660</v>
      </c>
      <c r="E86" s="1070">
        <v>13310</v>
      </c>
      <c r="F86" s="1088">
        <v>3140</v>
      </c>
      <c r="H86" s="1095"/>
    </row>
    <row r="87" spans="1:8" s="1064" customFormat="1" ht="14.25" customHeight="1" thickBot="1">
      <c r="A87" s="1076" t="s">
        <v>1401</v>
      </c>
      <c r="B87" s="1070" t="s">
        <v>1184</v>
      </c>
      <c r="C87" s="1070">
        <v>12940</v>
      </c>
      <c r="D87" s="1070">
        <v>12890</v>
      </c>
      <c r="E87" s="1070">
        <v>11580</v>
      </c>
      <c r="F87" s="1097"/>
      <c r="H87" s="1095"/>
    </row>
    <row r="88" spans="1:8" s="1064" customFormat="1" ht="14.25" customHeight="1" thickBot="1">
      <c r="A88" s="1076" t="s">
        <v>1401</v>
      </c>
      <c r="B88" s="1070" t="s">
        <v>1194</v>
      </c>
      <c r="C88" s="1070">
        <v>13430</v>
      </c>
      <c r="D88" s="1070">
        <v>13360</v>
      </c>
      <c r="E88" s="1070">
        <v>12790</v>
      </c>
      <c r="F88" s="1097"/>
      <c r="H88" s="1095"/>
    </row>
    <row r="89" spans="1:8" s="1064" customFormat="1" ht="14.25" customHeight="1" thickBot="1">
      <c r="A89" s="1076" t="s">
        <v>1401</v>
      </c>
      <c r="B89" s="1070" t="s">
        <v>1204</v>
      </c>
      <c r="C89" s="1070">
        <v>11680</v>
      </c>
      <c r="D89" s="1070">
        <v>11630</v>
      </c>
      <c r="E89" s="1070">
        <v>11320</v>
      </c>
      <c r="F89" s="1097"/>
      <c r="H89" s="1095"/>
    </row>
    <row r="90" spans="1:8" s="1064" customFormat="1" ht="14.25" customHeight="1" thickBot="1">
      <c r="A90" s="1076" t="s">
        <v>1401</v>
      </c>
      <c r="B90" s="1070" t="s">
        <v>1214</v>
      </c>
      <c r="C90" s="1070">
        <v>12890</v>
      </c>
      <c r="D90" s="1070">
        <v>12820</v>
      </c>
      <c r="E90" s="1070">
        <v>12710</v>
      </c>
      <c r="F90" s="1097"/>
      <c r="H90" s="1095"/>
    </row>
    <row r="91" spans="1:8" s="1064" customFormat="1" ht="14.25" customHeight="1" thickBot="1">
      <c r="A91" s="1076" t="s">
        <v>1401</v>
      </c>
      <c r="B91" s="1070" t="s">
        <v>1224</v>
      </c>
      <c r="C91" s="1070">
        <v>11410</v>
      </c>
      <c r="D91" s="1070">
        <v>11360</v>
      </c>
      <c r="E91" s="1070">
        <v>12670</v>
      </c>
      <c r="F91" s="1097"/>
      <c r="H91" s="1095"/>
    </row>
    <row r="92" spans="1:8" s="1064" customFormat="1" ht="14.25" customHeight="1" thickBot="1">
      <c r="A92" s="1076" t="s">
        <v>1401</v>
      </c>
      <c r="B92" s="1070" t="s">
        <v>1234</v>
      </c>
      <c r="C92" s="1070">
        <v>12770</v>
      </c>
      <c r="D92" s="1070">
        <v>12740</v>
      </c>
      <c r="E92" s="1070">
        <v>11970</v>
      </c>
      <c r="F92" s="1097"/>
      <c r="H92" s="1095"/>
    </row>
    <row r="93" spans="1:8" s="1064" customFormat="1" ht="14.25" customHeight="1" thickBot="1">
      <c r="A93" s="1076" t="s">
        <v>1401</v>
      </c>
      <c r="B93" s="1070" t="s">
        <v>1244</v>
      </c>
      <c r="C93" s="1070">
        <v>12740</v>
      </c>
      <c r="D93" s="1070">
        <v>12700</v>
      </c>
      <c r="E93" s="1070">
        <v>12540</v>
      </c>
      <c r="F93" s="1097"/>
      <c r="H93" s="1095"/>
    </row>
    <row r="94" spans="1:8" s="1064" customFormat="1" ht="14.25" customHeight="1" thickBot="1">
      <c r="A94" s="1076" t="s">
        <v>1401</v>
      </c>
      <c r="B94" s="1070" t="s">
        <v>1254</v>
      </c>
      <c r="C94" s="1070">
        <v>12020</v>
      </c>
      <c r="D94" s="1070">
        <v>11990</v>
      </c>
      <c r="E94" s="1070">
        <v>13110</v>
      </c>
      <c r="F94" s="1097"/>
      <c r="H94" s="1095"/>
    </row>
    <row r="95" spans="1:8" s="1064" customFormat="1" ht="14.25" customHeight="1" thickBot="1">
      <c r="A95" s="1076" t="s">
        <v>1401</v>
      </c>
      <c r="B95" s="1070" t="s">
        <v>1263</v>
      </c>
      <c r="C95" s="1070">
        <v>12620</v>
      </c>
      <c r="D95" s="1070">
        <v>12580</v>
      </c>
      <c r="E95" s="1070">
        <v>13160</v>
      </c>
      <c r="F95" s="1088"/>
      <c r="H95" s="1095"/>
    </row>
    <row r="96" spans="1:8" s="1064" customFormat="1" ht="14.25" customHeight="1" thickBot="1">
      <c r="A96" s="1076" t="s">
        <v>1401</v>
      </c>
      <c r="B96" s="1070" t="s">
        <v>1272</v>
      </c>
      <c r="C96" s="1070">
        <v>13200</v>
      </c>
      <c r="D96" s="1070">
        <v>13150</v>
      </c>
      <c r="E96" s="1070">
        <v>12900</v>
      </c>
      <c r="F96" s="1088"/>
      <c r="H96" s="1095"/>
    </row>
    <row r="97" spans="1:8" s="1064" customFormat="1" ht="14.25" customHeight="1" thickBot="1">
      <c r="A97" s="1076" t="s">
        <v>1401</v>
      </c>
      <c r="B97" s="1070" t="s">
        <v>1280</v>
      </c>
      <c r="C97" s="1070">
        <v>13270</v>
      </c>
      <c r="D97" s="1070">
        <v>13210</v>
      </c>
      <c r="E97" s="1070">
        <v>11080</v>
      </c>
      <c r="F97" s="1088"/>
      <c r="H97" s="1095"/>
    </row>
    <row r="98" spans="1:8" s="1064" customFormat="1" ht="14.25" customHeight="1" thickBot="1">
      <c r="A98" s="1076" t="s">
        <v>1401</v>
      </c>
      <c r="B98" s="1070" t="s">
        <v>1287</v>
      </c>
      <c r="C98" s="1070">
        <v>13010</v>
      </c>
      <c r="D98" s="1070">
        <v>12930</v>
      </c>
      <c r="E98" s="1070">
        <v>12840</v>
      </c>
      <c r="F98" s="1088"/>
      <c r="H98" s="1095"/>
    </row>
    <row r="99" spans="1:8" s="1064" customFormat="1" ht="14.25" customHeight="1" thickBot="1">
      <c r="A99" s="1076" t="s">
        <v>1401</v>
      </c>
      <c r="B99" s="1070" t="s">
        <v>1294</v>
      </c>
      <c r="C99" s="1070">
        <v>11190</v>
      </c>
      <c r="D99" s="1070">
        <v>11130</v>
      </c>
      <c r="E99" s="1070"/>
      <c r="F99" s="1088"/>
      <c r="H99" s="1095"/>
    </row>
    <row r="100" spans="1:8" s="1064" customFormat="1" ht="14.25" customHeight="1" thickBot="1">
      <c r="A100" s="1076" t="s">
        <v>1401</v>
      </c>
      <c r="B100" s="1070" t="s">
        <v>1301</v>
      </c>
      <c r="C100" s="1070">
        <v>14280</v>
      </c>
      <c r="D100" s="1070">
        <v>14180</v>
      </c>
      <c r="E100" s="1070"/>
      <c r="F100" s="1088"/>
      <c r="H100" s="1095"/>
    </row>
    <row r="101" spans="1:8" s="1064" customFormat="1" ht="14.25" customHeight="1" thickBot="1">
      <c r="A101" s="1076" t="s">
        <v>1401</v>
      </c>
      <c r="B101" s="1070" t="s">
        <v>1308</v>
      </c>
      <c r="C101" s="1070">
        <v>12960</v>
      </c>
      <c r="D101" s="1070">
        <v>12890</v>
      </c>
      <c r="E101" s="1070"/>
      <c r="F101" s="1088"/>
      <c r="H101" s="1095"/>
    </row>
    <row r="102" spans="1:8" s="1064" customFormat="1" ht="14.25" customHeight="1" thickBot="1">
      <c r="A102" s="1076" t="s">
        <v>1401</v>
      </c>
      <c r="B102" s="1070" t="s">
        <v>1315</v>
      </c>
      <c r="C102" s="1070"/>
      <c r="D102" s="1070"/>
      <c r="E102" s="1070"/>
      <c r="F102" s="1088">
        <v>3100</v>
      </c>
      <c r="H102" s="1095"/>
    </row>
    <row r="103" spans="1:8" s="1064" customFormat="1" ht="14.25" customHeight="1" thickBot="1">
      <c r="A103" s="1076" t="s">
        <v>1401</v>
      </c>
      <c r="B103" s="1070" t="s">
        <v>1322</v>
      </c>
      <c r="C103" s="1070"/>
      <c r="D103" s="1070"/>
      <c r="E103" s="1070"/>
      <c r="F103" s="1088">
        <v>2320</v>
      </c>
      <c r="H103" s="1095"/>
    </row>
    <row r="104" spans="1:8" s="1064" customFormat="1" ht="14.25" customHeight="1" thickBot="1">
      <c r="A104" s="1076" t="s">
        <v>1401</v>
      </c>
      <c r="B104" s="1070" t="s">
        <v>1327</v>
      </c>
      <c r="C104" s="1070"/>
      <c r="D104" s="1070"/>
      <c r="E104" s="1070"/>
      <c r="F104" s="1088">
        <v>2320</v>
      </c>
      <c r="H104" s="1095"/>
    </row>
    <row r="105" spans="1:8" s="1064" customFormat="1" ht="14.25" customHeight="1" thickBot="1">
      <c r="A105" s="1076" t="s">
        <v>1401</v>
      </c>
      <c r="B105" s="1070" t="s">
        <v>1331</v>
      </c>
      <c r="C105" s="1070"/>
      <c r="D105" s="1070"/>
      <c r="E105" s="1070"/>
      <c r="F105" s="1088">
        <v>2320</v>
      </c>
      <c r="H105" s="1095"/>
    </row>
    <row r="106" spans="1:8" s="1064" customFormat="1" ht="14.25" customHeight="1" thickBot="1">
      <c r="A106" s="1076" t="s">
        <v>1401</v>
      </c>
      <c r="B106" s="1070" t="s">
        <v>1336</v>
      </c>
      <c r="C106" s="1070"/>
      <c r="D106" s="1070"/>
      <c r="E106" s="1070"/>
      <c r="F106" s="1088">
        <v>2320</v>
      </c>
      <c r="H106" s="1095"/>
    </row>
    <row r="107" spans="1:8" s="1064" customFormat="1" ht="14.25" customHeight="1" thickBot="1">
      <c r="A107" s="1076" t="s">
        <v>1401</v>
      </c>
      <c r="B107" s="1070" t="s">
        <v>1341</v>
      </c>
      <c r="C107" s="1070"/>
      <c r="D107" s="1070"/>
      <c r="E107" s="1070"/>
      <c r="F107" s="1088">
        <v>2280</v>
      </c>
      <c r="H107" s="1095"/>
    </row>
    <row r="108" spans="1:8" s="1064" customFormat="1" ht="14.25" customHeight="1" thickBot="1">
      <c r="A108" s="1076" t="s">
        <v>1401</v>
      </c>
      <c r="B108" s="1070" t="s">
        <v>1346</v>
      </c>
      <c r="C108" s="1070"/>
      <c r="D108" s="1070"/>
      <c r="E108" s="1070"/>
      <c r="F108" s="1088">
        <v>2280</v>
      </c>
      <c r="H108" s="1095"/>
    </row>
    <row r="109" spans="1:8" s="1064" customFormat="1" ht="14.25" customHeight="1" thickBot="1">
      <c r="A109" s="1076" t="s">
        <v>1401</v>
      </c>
      <c r="B109" s="1086" t="s">
        <v>1351</v>
      </c>
      <c r="C109" s="1086"/>
      <c r="D109" s="1086"/>
      <c r="E109" s="1086"/>
      <c r="F109" s="1096">
        <v>2280</v>
      </c>
      <c r="H109" s="1095"/>
    </row>
    <row r="110" spans="1:8" s="1064" customFormat="1" ht="14.25" customHeight="1" thickBot="1">
      <c r="A110" s="1076" t="s">
        <v>1403</v>
      </c>
      <c r="B110" s="1077" t="s">
        <v>1404</v>
      </c>
      <c r="C110" s="1077">
        <v>10520</v>
      </c>
      <c r="D110" s="1077">
        <v>10490</v>
      </c>
      <c r="E110" s="1077">
        <v>10760</v>
      </c>
      <c r="F110" s="1078">
        <v>2160</v>
      </c>
      <c r="H110" s="1095"/>
    </row>
    <row r="111" spans="1:8" s="1064" customFormat="1" ht="14.25" customHeight="1" thickBot="1">
      <c r="A111" s="1076" t="s">
        <v>1403</v>
      </c>
      <c r="B111" s="1070" t="s">
        <v>1069</v>
      </c>
      <c r="C111" s="1070">
        <v>10090</v>
      </c>
      <c r="D111" s="1070">
        <v>10060</v>
      </c>
      <c r="E111" s="1070">
        <v>10300</v>
      </c>
      <c r="F111" s="1088">
        <v>2010</v>
      </c>
      <c r="H111" s="1095"/>
    </row>
    <row r="112" spans="1:8" s="1064" customFormat="1" ht="14.25" customHeight="1" thickBot="1">
      <c r="A112" s="1076" t="s">
        <v>1403</v>
      </c>
      <c r="B112" s="1070" t="s">
        <v>1083</v>
      </c>
      <c r="C112" s="1070">
        <v>9910</v>
      </c>
      <c r="D112" s="1070">
        <v>9850</v>
      </c>
      <c r="E112" s="1070">
        <v>9960</v>
      </c>
      <c r="F112" s="1088">
        <v>2090</v>
      </c>
      <c r="H112" s="1095"/>
    </row>
    <row r="113" spans="1:8" s="1064" customFormat="1" ht="14.25" customHeight="1" thickBot="1">
      <c r="A113" s="1076" t="s">
        <v>1403</v>
      </c>
      <c r="B113" s="1070" t="s">
        <v>1096</v>
      </c>
      <c r="C113" s="1070">
        <v>11430</v>
      </c>
      <c r="D113" s="1070">
        <v>11400</v>
      </c>
      <c r="E113" s="1070">
        <v>11710</v>
      </c>
      <c r="F113" s="1088">
        <v>2050</v>
      </c>
      <c r="H113" s="1095"/>
    </row>
    <row r="114" spans="1:8" s="1064" customFormat="1" ht="14.25" customHeight="1" thickBot="1">
      <c r="A114" s="1076" t="s">
        <v>1403</v>
      </c>
      <c r="B114" s="1070" t="s">
        <v>1110</v>
      </c>
      <c r="C114" s="1070">
        <v>11390</v>
      </c>
      <c r="D114" s="1070">
        <v>11350</v>
      </c>
      <c r="E114" s="1070">
        <v>11640</v>
      </c>
      <c r="F114" s="1088">
        <v>1620</v>
      </c>
      <c r="H114" s="1095"/>
    </row>
    <row r="115" spans="1:8" s="1064" customFormat="1" ht="14.25" customHeight="1" thickBot="1">
      <c r="A115" s="1076" t="s">
        <v>1403</v>
      </c>
      <c r="B115" s="1070" t="s">
        <v>1121</v>
      </c>
      <c r="C115" s="1070">
        <v>9930</v>
      </c>
      <c r="D115" s="1070">
        <v>9900</v>
      </c>
      <c r="E115" s="1070">
        <v>10160</v>
      </c>
      <c r="F115" s="1088">
        <v>1580</v>
      </c>
      <c r="H115" s="1095"/>
    </row>
    <row r="116" spans="1:8" s="1064" customFormat="1" ht="14.25" customHeight="1" thickBot="1">
      <c r="A116" s="1076" t="s">
        <v>1403</v>
      </c>
      <c r="B116" s="1070" t="s">
        <v>1132</v>
      </c>
      <c r="C116" s="1070">
        <v>9150</v>
      </c>
      <c r="D116" s="1070">
        <v>9120</v>
      </c>
      <c r="E116" s="1070">
        <v>9380</v>
      </c>
      <c r="F116" s="1088">
        <v>1750</v>
      </c>
      <c r="H116" s="1095"/>
    </row>
    <row r="117" spans="1:8" s="1064" customFormat="1" ht="14.25" customHeight="1" thickBot="1">
      <c r="A117" s="1076" t="s">
        <v>1403</v>
      </c>
      <c r="B117" s="1070" t="s">
        <v>1143</v>
      </c>
      <c r="C117" s="1070">
        <v>10680</v>
      </c>
      <c r="D117" s="1070">
        <v>10650</v>
      </c>
      <c r="E117" s="1070">
        <v>10970</v>
      </c>
      <c r="F117" s="1088">
        <v>1730</v>
      </c>
      <c r="H117" s="1095"/>
    </row>
    <row r="118" spans="1:8" s="1064" customFormat="1" ht="14.25" customHeight="1" thickBot="1">
      <c r="A118" s="1076" t="s">
        <v>1403</v>
      </c>
      <c r="B118" s="1070" t="s">
        <v>1155</v>
      </c>
      <c r="C118" s="1070">
        <v>10080</v>
      </c>
      <c r="D118" s="1070">
        <v>10050</v>
      </c>
      <c r="E118" s="1070">
        <v>10350</v>
      </c>
      <c r="F118" s="1088">
        <v>1920</v>
      </c>
      <c r="H118" s="1095"/>
    </row>
    <row r="119" spans="1:8" s="1064" customFormat="1" ht="14.25" customHeight="1" thickBot="1">
      <c r="A119" s="1076" t="s">
        <v>1403</v>
      </c>
      <c r="B119" s="1070" t="s">
        <v>1165</v>
      </c>
      <c r="C119" s="1070">
        <v>9450</v>
      </c>
      <c r="D119" s="1070">
        <v>9410</v>
      </c>
      <c r="E119" s="1070">
        <v>9680</v>
      </c>
      <c r="F119" s="1088">
        <v>1880</v>
      </c>
      <c r="H119" s="1095"/>
    </row>
    <row r="120" spans="1:8" s="1064" customFormat="1" ht="14.25" customHeight="1" thickBot="1">
      <c r="A120" s="1076" t="s">
        <v>1403</v>
      </c>
      <c r="B120" s="1070" t="s">
        <v>1175</v>
      </c>
      <c r="C120" s="1070">
        <v>8730</v>
      </c>
      <c r="D120" s="1070">
        <v>8700</v>
      </c>
      <c r="E120" s="1070">
        <v>8950</v>
      </c>
      <c r="F120" s="1088">
        <v>1830</v>
      </c>
      <c r="H120" s="1095"/>
    </row>
    <row r="121" spans="1:8" s="1064" customFormat="1" ht="14.25" customHeight="1" thickBot="1">
      <c r="A121" s="1076" t="s">
        <v>1403</v>
      </c>
      <c r="B121" s="1070" t="s">
        <v>1185</v>
      </c>
      <c r="C121" s="1070">
        <v>10070</v>
      </c>
      <c r="D121" s="1070">
        <v>10040</v>
      </c>
      <c r="E121" s="1070">
        <v>10270</v>
      </c>
      <c r="F121" s="1088">
        <v>1960</v>
      </c>
      <c r="H121" s="1095"/>
    </row>
    <row r="122" spans="1:8" s="1064" customFormat="1" ht="14.25" customHeight="1" thickBot="1">
      <c r="A122" s="1076" t="s">
        <v>1403</v>
      </c>
      <c r="B122" s="1070" t="s">
        <v>1195</v>
      </c>
      <c r="C122" s="1070">
        <v>10500</v>
      </c>
      <c r="D122" s="1070">
        <v>10470</v>
      </c>
      <c r="E122" s="1070">
        <v>10780</v>
      </c>
      <c r="F122" s="1088">
        <v>2180</v>
      </c>
      <c r="H122" s="1095"/>
    </row>
    <row r="123" spans="1:8" s="1064" customFormat="1" ht="14.25" customHeight="1" thickBot="1">
      <c r="A123" s="1076" t="s">
        <v>1403</v>
      </c>
      <c r="B123" s="1070" t="s">
        <v>1205</v>
      </c>
      <c r="C123" s="1070">
        <v>10390</v>
      </c>
      <c r="D123" s="1070">
        <v>10360</v>
      </c>
      <c r="E123" s="1070">
        <v>10660</v>
      </c>
      <c r="F123" s="1088">
        <v>2040</v>
      </c>
      <c r="H123" s="1095"/>
    </row>
    <row r="124" spans="1:8" s="1064" customFormat="1" ht="14.25" customHeight="1" thickBot="1">
      <c r="A124" s="1076" t="s">
        <v>1403</v>
      </c>
      <c r="B124" s="1070" t="s">
        <v>1215</v>
      </c>
      <c r="C124" s="1070">
        <v>10390</v>
      </c>
      <c r="D124" s="1070">
        <v>10360</v>
      </c>
      <c r="E124" s="1070">
        <v>10680</v>
      </c>
      <c r="F124" s="1097"/>
      <c r="H124" s="1095"/>
    </row>
    <row r="125" spans="1:8" s="1064" customFormat="1" ht="14.25" customHeight="1" thickBot="1">
      <c r="A125" s="1076" t="s">
        <v>1403</v>
      </c>
      <c r="B125" s="1070" t="s">
        <v>1225</v>
      </c>
      <c r="C125" s="1070">
        <v>10440</v>
      </c>
      <c r="D125" s="1070">
        <v>10410</v>
      </c>
      <c r="E125" s="1070">
        <v>10710</v>
      </c>
      <c r="F125" s="1097"/>
      <c r="H125" s="1095"/>
    </row>
    <row r="126" spans="1:8" s="1064" customFormat="1" ht="14.25" customHeight="1" thickBot="1">
      <c r="A126" s="1076" t="s">
        <v>1403</v>
      </c>
      <c r="B126" s="1070" t="s">
        <v>1235</v>
      </c>
      <c r="C126" s="1070">
        <v>10780</v>
      </c>
      <c r="D126" s="1070">
        <v>10750</v>
      </c>
      <c r="E126" s="1070">
        <v>11080</v>
      </c>
      <c r="F126" s="1097"/>
      <c r="H126" s="1095"/>
    </row>
    <row r="127" spans="1:8" s="1064" customFormat="1" ht="14.25" customHeight="1" thickBot="1">
      <c r="A127" s="1076" t="s">
        <v>1403</v>
      </c>
      <c r="B127" s="1070" t="s">
        <v>1245</v>
      </c>
      <c r="C127" s="1070">
        <v>10100</v>
      </c>
      <c r="D127" s="1070">
        <v>10070</v>
      </c>
      <c r="E127" s="1070">
        <v>10350</v>
      </c>
      <c r="F127" s="1097"/>
      <c r="H127" s="1095"/>
    </row>
    <row r="128" spans="1:8" s="1064" customFormat="1" ht="14.25" customHeight="1" thickBot="1">
      <c r="A128" s="1076" t="s">
        <v>1403</v>
      </c>
      <c r="B128" s="1070" t="s">
        <v>1255</v>
      </c>
      <c r="C128" s="1070">
        <v>9200</v>
      </c>
      <c r="D128" s="1070">
        <v>9160</v>
      </c>
      <c r="E128" s="1070">
        <v>9660</v>
      </c>
      <c r="F128" s="1097"/>
      <c r="H128" s="1095"/>
    </row>
    <row r="129" spans="1:8" s="1064" customFormat="1" ht="14.25" customHeight="1" thickBot="1">
      <c r="A129" s="1076" t="s">
        <v>1403</v>
      </c>
      <c r="B129" s="1070" t="s">
        <v>1264</v>
      </c>
      <c r="C129" s="1070">
        <v>10340</v>
      </c>
      <c r="D129" s="1070">
        <v>10310</v>
      </c>
      <c r="E129" s="1070">
        <v>10580</v>
      </c>
      <c r="F129" s="1097"/>
      <c r="H129" s="1095"/>
    </row>
    <row r="130" spans="1:8" s="1064" customFormat="1" ht="14.25" customHeight="1" thickBot="1">
      <c r="A130" s="1076" t="s">
        <v>1403</v>
      </c>
      <c r="B130" s="1070" t="s">
        <v>1273</v>
      </c>
      <c r="C130" s="1070">
        <v>9680</v>
      </c>
      <c r="D130" s="1070">
        <v>9660</v>
      </c>
      <c r="E130" s="1070">
        <v>9950</v>
      </c>
      <c r="F130" s="1097"/>
      <c r="H130" s="1095"/>
    </row>
    <row r="131" spans="1:8" s="1064" customFormat="1" ht="14.25" customHeight="1" thickBot="1">
      <c r="A131" s="1076" t="s">
        <v>1403</v>
      </c>
      <c r="B131" s="1070" t="s">
        <v>1281</v>
      </c>
      <c r="C131" s="1070">
        <v>9540</v>
      </c>
      <c r="D131" s="1070">
        <v>9510</v>
      </c>
      <c r="E131" s="1070">
        <v>9790</v>
      </c>
      <c r="F131" s="1097"/>
      <c r="H131" s="1095"/>
    </row>
    <row r="132" spans="1:8" s="1064" customFormat="1" ht="14.25" customHeight="1" thickBot="1">
      <c r="A132" s="1076" t="s">
        <v>1403</v>
      </c>
      <c r="B132" s="1070" t="s">
        <v>1288</v>
      </c>
      <c r="C132" s="1070">
        <v>9320</v>
      </c>
      <c r="D132" s="1070">
        <v>9290</v>
      </c>
      <c r="E132" s="1070">
        <v>9570</v>
      </c>
      <c r="F132" s="1097"/>
      <c r="H132" s="1095"/>
    </row>
    <row r="133" spans="1:8" s="1064" customFormat="1" ht="14.25" customHeight="1" thickBot="1">
      <c r="A133" s="1076" t="s">
        <v>1403</v>
      </c>
      <c r="B133" s="1070" t="s">
        <v>1295</v>
      </c>
      <c r="C133" s="1070">
        <v>10310</v>
      </c>
      <c r="D133" s="1070">
        <v>10280</v>
      </c>
      <c r="E133" s="1070">
        <v>10530</v>
      </c>
      <c r="F133" s="1097"/>
      <c r="H133" s="1095"/>
    </row>
    <row r="134" spans="1:8" s="1064" customFormat="1" ht="14.25" customHeight="1" thickBot="1">
      <c r="A134" s="1076" t="s">
        <v>1403</v>
      </c>
      <c r="B134" s="1070" t="s">
        <v>1302</v>
      </c>
      <c r="C134" s="1070">
        <v>10370</v>
      </c>
      <c r="D134" s="1070">
        <v>10310</v>
      </c>
      <c r="E134" s="1070">
        <v>10240</v>
      </c>
      <c r="F134" s="1088">
        <v>2060</v>
      </c>
      <c r="H134" s="1095"/>
    </row>
    <row r="135" spans="1:8" s="1064" customFormat="1" ht="14.25" customHeight="1" thickBot="1">
      <c r="A135" s="1076" t="s">
        <v>1403</v>
      </c>
      <c r="B135" s="1070" t="s">
        <v>1309</v>
      </c>
      <c r="C135" s="1070">
        <v>9300</v>
      </c>
      <c r="D135" s="1070">
        <v>9270</v>
      </c>
      <c r="E135" s="1070">
        <v>9350</v>
      </c>
      <c r="F135" s="1097"/>
      <c r="H135" s="1095"/>
    </row>
    <row r="136" spans="1:8" s="1064" customFormat="1" ht="14.25" customHeight="1" thickBot="1">
      <c r="A136" s="1076" t="s">
        <v>1403</v>
      </c>
      <c r="B136" s="1070" t="s">
        <v>1316</v>
      </c>
      <c r="C136" s="1070">
        <v>10160</v>
      </c>
      <c r="D136" s="1070">
        <v>10110</v>
      </c>
      <c r="E136" s="1070">
        <v>10080</v>
      </c>
      <c r="F136" s="1097"/>
      <c r="H136" s="1095"/>
    </row>
    <row r="137" spans="1:8" s="1064" customFormat="1" ht="14.25" customHeight="1" thickBot="1">
      <c r="A137" s="1076" t="s">
        <v>1403</v>
      </c>
      <c r="B137" s="1070" t="s">
        <v>1323</v>
      </c>
      <c r="C137" s="1070">
        <v>9200</v>
      </c>
      <c r="D137" s="1070">
        <v>9170</v>
      </c>
      <c r="E137" s="1070">
        <v>9450</v>
      </c>
      <c r="F137" s="1097"/>
      <c r="H137" s="1095"/>
    </row>
    <row r="138" spans="1:8" s="1064" customFormat="1" ht="14.25" customHeight="1" thickBot="1">
      <c r="A138" s="1076" t="s">
        <v>1403</v>
      </c>
      <c r="B138" s="1070" t="s">
        <v>1328</v>
      </c>
      <c r="C138" s="1070">
        <v>9690</v>
      </c>
      <c r="D138" s="1070">
        <v>9660</v>
      </c>
      <c r="E138" s="1070">
        <v>9840</v>
      </c>
      <c r="F138" s="1097"/>
      <c r="H138" s="1095"/>
    </row>
    <row r="139" spans="1:8" s="1064" customFormat="1" ht="14.25" customHeight="1" thickBot="1">
      <c r="A139" s="1076" t="s">
        <v>1403</v>
      </c>
      <c r="B139" s="1070" t="s">
        <v>1332</v>
      </c>
      <c r="C139" s="1070">
        <v>10290</v>
      </c>
      <c r="D139" s="1070">
        <v>10260</v>
      </c>
      <c r="E139" s="1070">
        <v>10550</v>
      </c>
      <c r="F139" s="1088">
        <v>1700</v>
      </c>
      <c r="H139" s="1095"/>
    </row>
    <row r="140" spans="1:8" s="1064" customFormat="1" ht="14.25" customHeight="1" thickBot="1">
      <c r="A140" s="1076" t="s">
        <v>1403</v>
      </c>
      <c r="B140" s="1070" t="s">
        <v>1337</v>
      </c>
      <c r="C140" s="1070">
        <v>9740</v>
      </c>
      <c r="D140" s="1070">
        <v>9710</v>
      </c>
      <c r="E140" s="1070">
        <v>10000</v>
      </c>
      <c r="F140" s="1088">
        <v>2000</v>
      </c>
      <c r="H140" s="1095"/>
    </row>
    <row r="141" spans="1:8" s="1064" customFormat="1" ht="14.25" customHeight="1" thickBot="1">
      <c r="A141" s="1076" t="s">
        <v>1403</v>
      </c>
      <c r="B141" s="1070" t="s">
        <v>1342</v>
      </c>
      <c r="C141" s="1070">
        <v>9810</v>
      </c>
      <c r="D141" s="1070">
        <v>9770</v>
      </c>
      <c r="E141" s="1070">
        <v>10060</v>
      </c>
      <c r="F141" s="1097"/>
      <c r="H141" s="1095"/>
    </row>
    <row r="142" spans="1:8" s="1064" customFormat="1" ht="14.25" customHeight="1" thickBot="1">
      <c r="A142" s="1076" t="s">
        <v>1403</v>
      </c>
      <c r="B142" s="1070" t="s">
        <v>1347</v>
      </c>
      <c r="C142" s="1070">
        <v>9300</v>
      </c>
      <c r="D142" s="1070">
        <v>9270</v>
      </c>
      <c r="E142" s="1070">
        <v>9530</v>
      </c>
      <c r="F142" s="1097"/>
      <c r="H142" s="1095"/>
    </row>
    <row r="143" spans="1:8" s="1064" customFormat="1" ht="14.25" customHeight="1" thickBot="1">
      <c r="A143" s="1076" t="s">
        <v>1403</v>
      </c>
      <c r="B143" s="1070" t="s">
        <v>1352</v>
      </c>
      <c r="C143" s="1070">
        <v>10080</v>
      </c>
      <c r="D143" s="1070">
        <v>10050</v>
      </c>
      <c r="E143" s="1070">
        <v>10340</v>
      </c>
      <c r="F143" s="1097"/>
      <c r="H143" s="1095"/>
    </row>
    <row r="144" spans="1:8" s="1064" customFormat="1" ht="14.25" customHeight="1" thickBot="1">
      <c r="A144" s="1076" t="s">
        <v>1403</v>
      </c>
      <c r="B144" s="1070" t="s">
        <v>1356</v>
      </c>
      <c r="C144" s="1070">
        <v>9820</v>
      </c>
      <c r="D144" s="1070">
        <v>9750</v>
      </c>
      <c r="E144" s="1070">
        <v>9900</v>
      </c>
      <c r="F144" s="1097"/>
      <c r="H144" s="1095"/>
    </row>
    <row r="145" spans="1:8" s="1064" customFormat="1" ht="14.25" customHeight="1" thickBot="1">
      <c r="A145" s="1076" t="s">
        <v>1403</v>
      </c>
      <c r="B145" s="1070" t="s">
        <v>1360</v>
      </c>
      <c r="C145" s="1070"/>
      <c r="D145" s="1070"/>
      <c r="E145" s="1070"/>
      <c r="F145" s="1088">
        <v>1740</v>
      </c>
      <c r="H145" s="1095"/>
    </row>
    <row r="146" spans="1:8" s="1064" customFormat="1" ht="14.25" customHeight="1" thickBot="1">
      <c r="A146" s="1076" t="s">
        <v>1403</v>
      </c>
      <c r="B146" s="1070" t="s">
        <v>1364</v>
      </c>
      <c r="C146" s="1070"/>
      <c r="D146" s="1070"/>
      <c r="E146" s="1070"/>
      <c r="F146" s="1088">
        <v>1740</v>
      </c>
      <c r="H146" s="1095"/>
    </row>
    <row r="147" spans="1:8" s="1064" customFormat="1" ht="14.25" customHeight="1" thickBot="1">
      <c r="A147" s="1076" t="s">
        <v>1403</v>
      </c>
      <c r="B147" s="1070" t="s">
        <v>1368</v>
      </c>
      <c r="C147" s="1070"/>
      <c r="D147" s="1070"/>
      <c r="E147" s="1070"/>
      <c r="F147" s="1088">
        <v>1740</v>
      </c>
      <c r="H147" s="1095"/>
    </row>
    <row r="148" spans="1:8" s="1064" customFormat="1" ht="14.25" customHeight="1" thickBot="1">
      <c r="A148" s="1076" t="s">
        <v>1403</v>
      </c>
      <c r="B148" s="1070" t="s">
        <v>1372</v>
      </c>
      <c r="C148" s="1070"/>
      <c r="D148" s="1070"/>
      <c r="E148" s="1070"/>
      <c r="F148" s="1088">
        <v>1740</v>
      </c>
      <c r="H148" s="1095"/>
    </row>
    <row r="149" spans="1:8" s="1064" customFormat="1" ht="14.25" customHeight="1" thickBot="1">
      <c r="A149" s="1076" t="s">
        <v>1403</v>
      </c>
      <c r="B149" s="1070" t="s">
        <v>1376</v>
      </c>
      <c r="C149" s="1070"/>
      <c r="D149" s="1070"/>
      <c r="E149" s="1070"/>
      <c r="F149" s="1088">
        <v>1740</v>
      </c>
      <c r="H149" s="1095"/>
    </row>
    <row r="150" spans="1:8" s="1064" customFormat="1" ht="14.25" customHeight="1" thickBot="1">
      <c r="A150" s="1076" t="s">
        <v>1403</v>
      </c>
      <c r="B150" s="1070" t="s">
        <v>1379</v>
      </c>
      <c r="C150" s="1070"/>
      <c r="D150" s="1070"/>
      <c r="E150" s="1070"/>
      <c r="F150" s="1088">
        <v>1610</v>
      </c>
      <c r="H150" s="1095"/>
    </row>
    <row r="151" spans="1:8" s="1064" customFormat="1" ht="14.25" customHeight="1" thickBot="1">
      <c r="A151" s="1076" t="s">
        <v>1403</v>
      </c>
      <c r="B151" s="1070" t="s">
        <v>1382</v>
      </c>
      <c r="C151" s="1070"/>
      <c r="D151" s="1070"/>
      <c r="E151" s="1070"/>
      <c r="F151" s="1088">
        <v>1610</v>
      </c>
      <c r="H151" s="1095"/>
    </row>
    <row r="152" spans="1:8" s="1064" customFormat="1" ht="14.25" customHeight="1" thickBot="1">
      <c r="A152" s="1076" t="s">
        <v>1403</v>
      </c>
      <c r="B152" s="1070" t="s">
        <v>1385</v>
      </c>
      <c r="C152" s="1070"/>
      <c r="D152" s="1070"/>
      <c r="E152" s="1070"/>
      <c r="F152" s="1088">
        <v>1610</v>
      </c>
      <c r="H152" s="1095"/>
    </row>
    <row r="153" spans="1:8" s="1064" customFormat="1" ht="14.25" customHeight="1" thickBot="1">
      <c r="A153" s="1076" t="s">
        <v>1403</v>
      </c>
      <c r="B153" s="1070" t="s">
        <v>1388</v>
      </c>
      <c r="C153" s="1070"/>
      <c r="D153" s="1070"/>
      <c r="E153" s="1070"/>
      <c r="F153" s="1088">
        <v>1610</v>
      </c>
      <c r="H153" s="1095"/>
    </row>
    <row r="154" spans="1:8" s="1064" customFormat="1" ht="14.25" customHeight="1" thickBot="1">
      <c r="A154" s="1076" t="s">
        <v>1403</v>
      </c>
      <c r="B154" s="1070" t="s">
        <v>1391</v>
      </c>
      <c r="C154" s="1070"/>
      <c r="D154" s="1070"/>
      <c r="E154" s="1070"/>
      <c r="F154" s="1088">
        <v>1610</v>
      </c>
      <c r="H154" s="1095"/>
    </row>
    <row r="155" spans="1:8" s="1064" customFormat="1" ht="14.25" customHeight="1" thickBot="1">
      <c r="A155" s="1076" t="s">
        <v>1403</v>
      </c>
      <c r="B155" s="1070" t="s">
        <v>1394</v>
      </c>
      <c r="C155" s="1070"/>
      <c r="D155" s="1070"/>
      <c r="E155" s="1070"/>
      <c r="F155" s="1088">
        <v>1800</v>
      </c>
      <c r="H155" s="1095"/>
    </row>
    <row r="156" spans="1:8" s="1064" customFormat="1" ht="14.25" customHeight="1" thickBot="1">
      <c r="A156" s="1076" t="s">
        <v>1403</v>
      </c>
      <c r="B156" s="1070" t="s">
        <v>1396</v>
      </c>
      <c r="C156" s="1070"/>
      <c r="D156" s="1070"/>
      <c r="E156" s="1070"/>
      <c r="F156" s="1088">
        <v>1910</v>
      </c>
      <c r="H156" s="1095"/>
    </row>
    <row r="157" spans="1:8" s="1064" customFormat="1" ht="14.25" customHeight="1" thickBot="1">
      <c r="A157" s="1076" t="s">
        <v>1403</v>
      </c>
      <c r="B157" s="1086" t="s">
        <v>1399</v>
      </c>
      <c r="C157" s="1086"/>
      <c r="D157" s="1086"/>
      <c r="E157" s="1086"/>
      <c r="F157" s="1096">
        <v>1500</v>
      </c>
      <c r="H157" s="1095"/>
    </row>
    <row r="158" spans="1:8" s="1064" customFormat="1" ht="14.25" customHeight="1" thickBot="1">
      <c r="A158" s="1076" t="s">
        <v>1405</v>
      </c>
      <c r="B158" s="1077" t="s">
        <v>1406</v>
      </c>
      <c r="C158" s="1077">
        <v>8170</v>
      </c>
      <c r="D158" s="1077">
        <v>8140</v>
      </c>
      <c r="E158" s="1077">
        <v>8590</v>
      </c>
      <c r="F158" s="1078">
        <v>1450</v>
      </c>
      <c r="H158" s="1095"/>
    </row>
    <row r="159" spans="1:8" s="1064" customFormat="1" ht="14.25" customHeight="1" thickBot="1">
      <c r="A159" s="1076" t="s">
        <v>1405</v>
      </c>
      <c r="B159" s="1070" t="s">
        <v>1070</v>
      </c>
      <c r="C159" s="1070">
        <v>7410</v>
      </c>
      <c r="D159" s="1070">
        <v>7370</v>
      </c>
      <c r="E159" s="1070">
        <v>8030</v>
      </c>
      <c r="F159" s="1088">
        <v>1510</v>
      </c>
      <c r="H159" s="1095"/>
    </row>
    <row r="160" spans="1:8" s="1064" customFormat="1" ht="14.25" customHeight="1" thickBot="1">
      <c r="A160" s="1076" t="s">
        <v>1405</v>
      </c>
      <c r="B160" s="1070" t="s">
        <v>1084</v>
      </c>
      <c r="C160" s="1070">
        <v>7240</v>
      </c>
      <c r="D160" s="1070">
        <v>7210</v>
      </c>
      <c r="E160" s="1070">
        <v>7860</v>
      </c>
      <c r="F160" s="1088">
        <v>1370</v>
      </c>
      <c r="H160" s="1095"/>
    </row>
    <row r="161" spans="1:8" s="1064" customFormat="1" ht="14.25" customHeight="1" thickBot="1">
      <c r="A161" s="1076" t="s">
        <v>1405</v>
      </c>
      <c r="B161" s="1070" t="s">
        <v>1097</v>
      </c>
      <c r="C161" s="1070">
        <v>7720</v>
      </c>
      <c r="D161" s="1070">
        <v>7690</v>
      </c>
      <c r="E161" s="1070">
        <v>8200</v>
      </c>
      <c r="F161" s="1088">
        <v>1190</v>
      </c>
      <c r="H161" s="1095"/>
    </row>
    <row r="162" spans="1:8" s="1064" customFormat="1" ht="14.25" customHeight="1" thickBot="1">
      <c r="A162" s="1076" t="s">
        <v>1405</v>
      </c>
      <c r="B162" s="1070" t="s">
        <v>1111</v>
      </c>
      <c r="C162" s="1070">
        <v>6900</v>
      </c>
      <c r="D162" s="1070">
        <v>6870</v>
      </c>
      <c r="E162" s="1070">
        <v>7500</v>
      </c>
      <c r="F162" s="1088">
        <v>1390</v>
      </c>
      <c r="H162" s="1095"/>
    </row>
    <row r="163" spans="1:8" s="1064" customFormat="1" ht="14.25" customHeight="1" thickBot="1">
      <c r="A163" s="1076" t="s">
        <v>1405</v>
      </c>
      <c r="B163" s="1070" t="s">
        <v>1122</v>
      </c>
      <c r="C163" s="1070">
        <v>7120</v>
      </c>
      <c r="D163" s="1070">
        <v>7090</v>
      </c>
      <c r="E163" s="1070">
        <v>7690</v>
      </c>
      <c r="F163" s="1088">
        <v>1230</v>
      </c>
      <c r="H163" s="1095"/>
    </row>
    <row r="164" spans="1:8" s="1064" customFormat="1" ht="14.25" customHeight="1" thickBot="1">
      <c r="A164" s="1076" t="s">
        <v>1405</v>
      </c>
      <c r="B164" s="1070" t="s">
        <v>1133</v>
      </c>
      <c r="C164" s="1070">
        <v>6560</v>
      </c>
      <c r="D164" s="1070">
        <v>6530</v>
      </c>
      <c r="E164" s="1070">
        <v>7110</v>
      </c>
      <c r="F164" s="1088">
        <v>1340</v>
      </c>
      <c r="H164" s="1095"/>
    </row>
    <row r="165" spans="1:8" s="1064" customFormat="1" ht="14.25" customHeight="1" thickBot="1">
      <c r="A165" s="1076" t="s">
        <v>1405</v>
      </c>
      <c r="B165" s="1070" t="s">
        <v>1144</v>
      </c>
      <c r="C165" s="1070">
        <v>7450</v>
      </c>
      <c r="D165" s="1070">
        <v>7430</v>
      </c>
      <c r="E165" s="1070">
        <v>8110</v>
      </c>
      <c r="F165" s="1088">
        <v>1290</v>
      </c>
      <c r="H165" s="1095"/>
    </row>
    <row r="166" spans="1:8" s="1064" customFormat="1" ht="14.25" customHeight="1" thickBot="1">
      <c r="A166" s="1076" t="s">
        <v>1405</v>
      </c>
      <c r="B166" s="1070" t="s">
        <v>1156</v>
      </c>
      <c r="C166" s="1070">
        <v>7490</v>
      </c>
      <c r="D166" s="1070">
        <v>7460</v>
      </c>
      <c r="E166" s="1070">
        <v>8150</v>
      </c>
      <c r="F166" s="1088">
        <v>1350</v>
      </c>
      <c r="H166" s="1095"/>
    </row>
    <row r="167" spans="1:8" s="1064" customFormat="1" ht="14.25" customHeight="1" thickBot="1">
      <c r="A167" s="1076" t="s">
        <v>1405</v>
      </c>
      <c r="B167" s="1070" t="s">
        <v>1166</v>
      </c>
      <c r="C167" s="1070">
        <v>7540</v>
      </c>
      <c r="D167" s="1070">
        <v>7510</v>
      </c>
      <c r="E167" s="1070">
        <v>8030</v>
      </c>
      <c r="F167" s="1097"/>
      <c r="H167" s="1095"/>
    </row>
    <row r="168" spans="1:8" s="1064" customFormat="1" ht="14.25" customHeight="1" thickBot="1">
      <c r="A168" s="1076" t="s">
        <v>1405</v>
      </c>
      <c r="B168" s="1070" t="s">
        <v>1176</v>
      </c>
      <c r="C168" s="1070">
        <v>7210</v>
      </c>
      <c r="D168" s="1070">
        <v>7180</v>
      </c>
      <c r="E168" s="1070">
        <v>7830</v>
      </c>
      <c r="F168" s="1097"/>
      <c r="H168" s="1095"/>
    </row>
    <row r="169" spans="1:8" s="1064" customFormat="1" ht="14.25" customHeight="1" thickBot="1">
      <c r="A169" s="1076" t="s">
        <v>1405</v>
      </c>
      <c r="B169" s="1070" t="s">
        <v>1186</v>
      </c>
      <c r="C169" s="1070">
        <v>7040</v>
      </c>
      <c r="D169" s="1070">
        <v>7020</v>
      </c>
      <c r="E169" s="1070">
        <v>7670</v>
      </c>
      <c r="F169" s="1097"/>
      <c r="H169" s="1095"/>
    </row>
    <row r="170" spans="1:8" s="1064" customFormat="1" ht="14.25" customHeight="1" thickBot="1">
      <c r="A170" s="1076" t="s">
        <v>1405</v>
      </c>
      <c r="B170" s="1070" t="s">
        <v>1196</v>
      </c>
      <c r="C170" s="1070">
        <v>8040</v>
      </c>
      <c r="D170" s="1070">
        <v>7190</v>
      </c>
      <c r="E170" s="1070">
        <v>7850</v>
      </c>
      <c r="F170" s="1097"/>
      <c r="H170" s="1095"/>
    </row>
    <row r="171" spans="1:8" s="1064" customFormat="1" ht="14.25" customHeight="1" thickBot="1">
      <c r="A171" s="1076" t="s">
        <v>1405</v>
      </c>
      <c r="B171" s="1070" t="s">
        <v>1206</v>
      </c>
      <c r="C171" s="1070">
        <v>7860</v>
      </c>
      <c r="D171" s="1070">
        <v>7720</v>
      </c>
      <c r="E171" s="1070">
        <v>8150</v>
      </c>
      <c r="F171" s="1088">
        <v>1110</v>
      </c>
      <c r="H171" s="1095"/>
    </row>
    <row r="172" spans="1:8" s="1064" customFormat="1" ht="14.25" customHeight="1" thickBot="1">
      <c r="A172" s="1076" t="s">
        <v>1405</v>
      </c>
      <c r="B172" s="1070" t="s">
        <v>1216</v>
      </c>
      <c r="C172" s="1070">
        <v>7210</v>
      </c>
      <c r="D172" s="1070">
        <v>7170</v>
      </c>
      <c r="E172" s="1070">
        <v>7320</v>
      </c>
      <c r="F172" s="1097"/>
      <c r="H172" s="1095"/>
    </row>
    <row r="173" spans="1:8" s="1064" customFormat="1" ht="14.25" customHeight="1" thickBot="1">
      <c r="A173" s="1076" t="s">
        <v>1405</v>
      </c>
      <c r="B173" s="1070" t="s">
        <v>1226</v>
      </c>
      <c r="C173" s="1070">
        <v>6860</v>
      </c>
      <c r="D173" s="1070">
        <v>6810</v>
      </c>
      <c r="E173" s="1070">
        <v>7440</v>
      </c>
      <c r="F173" s="1097"/>
      <c r="H173" s="1095"/>
    </row>
    <row r="174" spans="1:8" s="1064" customFormat="1" ht="14.25" customHeight="1" thickBot="1">
      <c r="A174" s="1076" t="s">
        <v>1405</v>
      </c>
      <c r="B174" s="1070" t="s">
        <v>1236</v>
      </c>
      <c r="C174" s="1070">
        <v>7120</v>
      </c>
      <c r="D174" s="1070">
        <v>7090</v>
      </c>
      <c r="E174" s="1070">
        <v>7500</v>
      </c>
      <c r="F174" s="1088">
        <v>1490</v>
      </c>
      <c r="H174" s="1095"/>
    </row>
    <row r="175" spans="1:8" s="1064" customFormat="1" ht="14.25" customHeight="1" thickBot="1">
      <c r="A175" s="1076" t="s">
        <v>1405</v>
      </c>
      <c r="B175" s="1070" t="s">
        <v>1246</v>
      </c>
      <c r="C175" s="1070">
        <v>7850</v>
      </c>
      <c r="D175" s="1070">
        <v>7820</v>
      </c>
      <c r="E175" s="1070">
        <v>8120</v>
      </c>
      <c r="F175" s="1088">
        <v>1530</v>
      </c>
      <c r="H175" s="1095"/>
    </row>
    <row r="176" spans="1:8" s="1064" customFormat="1" ht="14.25" customHeight="1" thickBot="1">
      <c r="A176" s="1076" t="s">
        <v>1405</v>
      </c>
      <c r="B176" s="1070" t="s">
        <v>1256</v>
      </c>
      <c r="C176" s="1070">
        <v>7620</v>
      </c>
      <c r="D176" s="1070">
        <v>7570</v>
      </c>
      <c r="E176" s="1070">
        <v>7990</v>
      </c>
      <c r="F176" s="1088">
        <v>1480</v>
      </c>
      <c r="H176" s="1095"/>
    </row>
    <row r="177" spans="1:8" s="1064" customFormat="1" ht="14.25" customHeight="1" thickBot="1">
      <c r="A177" s="1076" t="s">
        <v>1405</v>
      </c>
      <c r="B177" s="1070" t="s">
        <v>1265</v>
      </c>
      <c r="C177" s="1070">
        <v>8590</v>
      </c>
      <c r="D177" s="1070">
        <v>8570</v>
      </c>
      <c r="E177" s="1070">
        <v>8740</v>
      </c>
      <c r="F177" s="1088">
        <v>1540</v>
      </c>
      <c r="H177" s="1095"/>
    </row>
    <row r="178" spans="1:8" s="1064" customFormat="1" ht="14.25" customHeight="1" thickBot="1">
      <c r="A178" s="1076" t="s">
        <v>1405</v>
      </c>
      <c r="B178" s="1070" t="s">
        <v>1274</v>
      </c>
      <c r="C178" s="1070">
        <v>7510</v>
      </c>
      <c r="D178" s="1070">
        <v>7470</v>
      </c>
      <c r="E178" s="1070">
        <v>8090</v>
      </c>
      <c r="F178" s="1088">
        <v>1320</v>
      </c>
      <c r="H178" s="1095"/>
    </row>
    <row r="179" spans="1:8" s="1064" customFormat="1" ht="14.25" customHeight="1" thickBot="1">
      <c r="A179" s="1076" t="s">
        <v>1405</v>
      </c>
      <c r="B179" s="1070" t="s">
        <v>1282</v>
      </c>
      <c r="C179" s="1070">
        <v>6380</v>
      </c>
      <c r="D179" s="1070">
        <v>6340</v>
      </c>
      <c r="E179" s="1070">
        <v>6810</v>
      </c>
      <c r="F179" s="1097"/>
      <c r="H179" s="1095"/>
    </row>
    <row r="180" spans="1:8" s="1064" customFormat="1" ht="14.25" customHeight="1" thickBot="1">
      <c r="A180" s="1076" t="s">
        <v>1405</v>
      </c>
      <c r="B180" s="1070" t="s">
        <v>1289</v>
      </c>
      <c r="C180" s="1070">
        <v>7830</v>
      </c>
      <c r="D180" s="1070">
        <v>7800</v>
      </c>
      <c r="E180" s="1070">
        <v>7780</v>
      </c>
      <c r="F180" s="1088">
        <v>1440</v>
      </c>
      <c r="H180" s="1095"/>
    </row>
    <row r="181" spans="1:8" s="1064" customFormat="1" ht="14.25" customHeight="1" thickBot="1">
      <c r="A181" s="1076" t="s">
        <v>1405</v>
      </c>
      <c r="B181" s="1070" t="s">
        <v>1296</v>
      </c>
      <c r="C181" s="1070">
        <v>7110</v>
      </c>
      <c r="D181" s="1070">
        <v>7080</v>
      </c>
      <c r="E181" s="1070">
        <v>7730</v>
      </c>
      <c r="F181" s="1088">
        <v>1350</v>
      </c>
      <c r="H181" s="1095"/>
    </row>
    <row r="182" spans="1:8" s="1064" customFormat="1" ht="14.25" customHeight="1" thickBot="1">
      <c r="A182" s="1076" t="s">
        <v>1405</v>
      </c>
      <c r="B182" s="1070" t="s">
        <v>1303</v>
      </c>
      <c r="C182" s="1070">
        <v>7310</v>
      </c>
      <c r="D182" s="1070">
        <v>7280</v>
      </c>
      <c r="E182" s="1070">
        <v>7950</v>
      </c>
      <c r="F182" s="1088">
        <v>1220</v>
      </c>
      <c r="H182" s="1095"/>
    </row>
    <row r="183" spans="1:8" s="1064" customFormat="1" ht="14.25" customHeight="1" thickBot="1">
      <c r="A183" s="1076" t="s">
        <v>1405</v>
      </c>
      <c r="B183" s="1070" t="s">
        <v>1310</v>
      </c>
      <c r="C183" s="1070">
        <v>7470</v>
      </c>
      <c r="D183" s="1070">
        <v>7440</v>
      </c>
      <c r="E183" s="1070">
        <v>7880</v>
      </c>
      <c r="F183" s="1097"/>
      <c r="H183" s="1095"/>
    </row>
    <row r="184" spans="1:8" s="1064" customFormat="1" ht="14.25" customHeight="1" thickBot="1">
      <c r="A184" s="1076" t="s">
        <v>1405</v>
      </c>
      <c r="B184" s="1070" t="s">
        <v>1317</v>
      </c>
      <c r="C184" s="1070">
        <v>6960</v>
      </c>
      <c r="D184" s="1070">
        <v>6930</v>
      </c>
      <c r="E184" s="1070">
        <v>7570</v>
      </c>
      <c r="F184" s="1097"/>
      <c r="H184" s="1095"/>
    </row>
    <row r="185" spans="1:8" s="1064" customFormat="1" ht="14.25" customHeight="1" thickBot="1">
      <c r="A185" s="1076" t="s">
        <v>1405</v>
      </c>
      <c r="B185" s="1070" t="s">
        <v>1324</v>
      </c>
      <c r="C185" s="1070">
        <v>7260</v>
      </c>
      <c r="D185" s="1070">
        <v>7230</v>
      </c>
      <c r="E185" s="1070">
        <v>7710</v>
      </c>
      <c r="F185" s="1088">
        <v>1360</v>
      </c>
      <c r="H185" s="1095"/>
    </row>
    <row r="186" spans="1:8" s="1064" customFormat="1" ht="14.25" customHeight="1" thickBot="1">
      <c r="A186" s="1076" t="s">
        <v>1405</v>
      </c>
      <c r="B186" s="1070" t="s">
        <v>1329</v>
      </c>
      <c r="C186" s="1070"/>
      <c r="D186" s="1070"/>
      <c r="E186" s="1070"/>
      <c r="F186" s="1088">
        <v>1560</v>
      </c>
      <c r="H186" s="1095"/>
    </row>
    <row r="187" spans="1:8" s="1064" customFormat="1" ht="14.25" customHeight="1" thickBot="1">
      <c r="A187" s="1076" t="s">
        <v>1405</v>
      </c>
      <c r="B187" s="1070" t="s">
        <v>1333</v>
      </c>
      <c r="C187" s="1070"/>
      <c r="D187" s="1070"/>
      <c r="E187" s="1070"/>
      <c r="F187" s="1088">
        <v>1560</v>
      </c>
      <c r="H187" s="1095"/>
    </row>
    <row r="188" spans="1:8" s="1064" customFormat="1" ht="14.25" customHeight="1" thickBot="1">
      <c r="A188" s="1076" t="s">
        <v>1405</v>
      </c>
      <c r="B188" s="1070" t="s">
        <v>1338</v>
      </c>
      <c r="C188" s="1070"/>
      <c r="D188" s="1070"/>
      <c r="E188" s="1070"/>
      <c r="F188" s="1088">
        <v>1560</v>
      </c>
      <c r="H188" s="1095"/>
    </row>
    <row r="189" spans="1:8" s="1064" customFormat="1" ht="14.25" customHeight="1" thickBot="1">
      <c r="A189" s="1076" t="s">
        <v>1405</v>
      </c>
      <c r="B189" s="1070" t="s">
        <v>1343</v>
      </c>
      <c r="C189" s="1070"/>
      <c r="D189" s="1070"/>
      <c r="E189" s="1070"/>
      <c r="F189" s="1088">
        <v>1320</v>
      </c>
      <c r="H189" s="1095"/>
    </row>
    <row r="190" spans="1:8" s="1064" customFormat="1" ht="14.25" customHeight="1" thickBot="1">
      <c r="A190" s="1076" t="s">
        <v>1405</v>
      </c>
      <c r="B190" s="1070" t="s">
        <v>1348</v>
      </c>
      <c r="C190" s="1070"/>
      <c r="D190" s="1070"/>
      <c r="E190" s="1070"/>
      <c r="F190" s="1088">
        <v>1320</v>
      </c>
      <c r="H190" s="1095"/>
    </row>
    <row r="191" spans="1:8" s="1064" customFormat="1" ht="14.25" customHeight="1" thickBot="1">
      <c r="A191" s="1076" t="s">
        <v>1405</v>
      </c>
      <c r="B191" s="1070" t="s">
        <v>1353</v>
      </c>
      <c r="C191" s="1070"/>
      <c r="D191" s="1070"/>
      <c r="E191" s="1070"/>
      <c r="F191" s="1088">
        <v>1320</v>
      </c>
      <c r="H191" s="1095"/>
    </row>
    <row r="192" spans="1:8" s="1064" customFormat="1" ht="14.25" customHeight="1" thickBot="1">
      <c r="A192" s="1076" t="s">
        <v>1405</v>
      </c>
      <c r="B192" s="1070" t="s">
        <v>1357</v>
      </c>
      <c r="C192" s="1070"/>
      <c r="D192" s="1070"/>
      <c r="E192" s="1070"/>
      <c r="F192" s="1088">
        <v>1100</v>
      </c>
      <c r="H192" s="1095"/>
    </row>
    <row r="193" spans="1:8" s="1064" customFormat="1" ht="14.25" customHeight="1" thickBot="1">
      <c r="A193" s="1076" t="s">
        <v>1405</v>
      </c>
      <c r="B193" s="1070" t="s">
        <v>1361</v>
      </c>
      <c r="C193" s="1070"/>
      <c r="D193" s="1070"/>
      <c r="E193" s="1070"/>
      <c r="F193" s="1088">
        <v>1100</v>
      </c>
      <c r="H193" s="1095"/>
    </row>
    <row r="194" spans="1:8" s="1064" customFormat="1" ht="14.25" customHeight="1" thickBot="1">
      <c r="A194" s="1076" t="s">
        <v>1405</v>
      </c>
      <c r="B194" s="1070" t="s">
        <v>1365</v>
      </c>
      <c r="C194" s="1070"/>
      <c r="D194" s="1070"/>
      <c r="E194" s="1070"/>
      <c r="F194" s="1088">
        <v>1080</v>
      </c>
      <c r="H194" s="1095"/>
    </row>
    <row r="195" spans="1:8" s="1064" customFormat="1" ht="14.25" customHeight="1" thickBot="1">
      <c r="A195" s="1076" t="s">
        <v>1405</v>
      </c>
      <c r="B195" s="1070" t="s">
        <v>1369</v>
      </c>
      <c r="C195" s="1070"/>
      <c r="D195" s="1070"/>
      <c r="E195" s="1070"/>
      <c r="F195" s="1088">
        <v>1270</v>
      </c>
      <c r="H195" s="1095"/>
    </row>
    <row r="196" spans="1:8" s="1064" customFormat="1" ht="14.25" customHeight="1" thickBot="1">
      <c r="A196" s="1076" t="s">
        <v>1405</v>
      </c>
      <c r="B196" s="1070" t="s">
        <v>1373</v>
      </c>
      <c r="C196" s="1070"/>
      <c r="D196" s="1070"/>
      <c r="E196" s="1070"/>
      <c r="F196" s="1088">
        <v>1150</v>
      </c>
      <c r="H196" s="1095"/>
    </row>
    <row r="197" spans="1:8" s="1064" customFormat="1" ht="14.25" customHeight="1" thickBot="1">
      <c r="A197" s="1076" t="s">
        <v>1405</v>
      </c>
      <c r="B197" s="1070" t="s">
        <v>1377</v>
      </c>
      <c r="C197" s="1070"/>
      <c r="D197" s="1070"/>
      <c r="E197" s="1070"/>
      <c r="F197" s="1088">
        <v>1330</v>
      </c>
      <c r="H197" s="1095"/>
    </row>
    <row r="198" spans="1:8" s="1064" customFormat="1" ht="14.25" customHeight="1" thickBot="1">
      <c r="A198" s="1076" t="s">
        <v>1405</v>
      </c>
      <c r="B198" s="1070" t="s">
        <v>1380</v>
      </c>
      <c r="C198" s="1070"/>
      <c r="D198" s="1070"/>
      <c r="E198" s="1070"/>
      <c r="F198" s="1088">
        <v>1170</v>
      </c>
      <c r="H198" s="1095"/>
    </row>
    <row r="199" spans="1:8" s="1064" customFormat="1" ht="14.25" customHeight="1" thickBot="1">
      <c r="A199" s="1076" t="s">
        <v>1405</v>
      </c>
      <c r="B199" s="1070" t="s">
        <v>1383</v>
      </c>
      <c r="C199" s="1070"/>
      <c r="D199" s="1070"/>
      <c r="E199" s="1070"/>
      <c r="F199" s="1088">
        <v>1120</v>
      </c>
      <c r="H199" s="1095"/>
    </row>
    <row r="200" spans="1:8" s="1064" customFormat="1" ht="14.25" customHeight="1" thickBot="1">
      <c r="A200" s="1076" t="s">
        <v>1405</v>
      </c>
      <c r="B200" s="1070" t="s">
        <v>1386</v>
      </c>
      <c r="C200" s="1070"/>
      <c r="D200" s="1070"/>
      <c r="E200" s="1070"/>
      <c r="F200" s="1088">
        <v>1120</v>
      </c>
      <c r="H200" s="1095"/>
    </row>
    <row r="201" spans="1:8" s="1064" customFormat="1" ht="14.25" customHeight="1" thickBot="1">
      <c r="A201" s="1076" t="s">
        <v>1405</v>
      </c>
      <c r="B201" s="1070" t="s">
        <v>1389</v>
      </c>
      <c r="C201" s="1070"/>
      <c r="D201" s="1070"/>
      <c r="E201" s="1070"/>
      <c r="F201" s="1088">
        <v>1540</v>
      </c>
      <c r="H201" s="1095"/>
    </row>
    <row r="202" spans="1:8" s="1064" customFormat="1" ht="14.25" customHeight="1" thickBot="1">
      <c r="A202" s="1076" t="s">
        <v>1405</v>
      </c>
      <c r="B202" s="1070" t="s">
        <v>1392</v>
      </c>
      <c r="C202" s="1070"/>
      <c r="D202" s="1070"/>
      <c r="E202" s="1070"/>
      <c r="F202" s="1088">
        <v>1310</v>
      </c>
      <c r="H202" s="1095"/>
    </row>
    <row r="203" spans="1:8" s="1064" customFormat="1" ht="14.25" customHeight="1" thickBot="1">
      <c r="A203" s="1076" t="s">
        <v>1405</v>
      </c>
      <c r="B203" s="1070" t="s">
        <v>1395</v>
      </c>
      <c r="C203" s="1070"/>
      <c r="D203" s="1070"/>
      <c r="E203" s="1070"/>
      <c r="F203" s="1088">
        <v>1310</v>
      </c>
      <c r="H203" s="1095"/>
    </row>
    <row r="204" spans="1:8" s="1064" customFormat="1" ht="14.25" customHeight="1" thickBot="1">
      <c r="A204" s="1076" t="s">
        <v>1405</v>
      </c>
      <c r="B204" s="1070" t="s">
        <v>1397</v>
      </c>
      <c r="C204" s="1070"/>
      <c r="D204" s="1070"/>
      <c r="E204" s="1070"/>
      <c r="F204" s="1088">
        <v>1080</v>
      </c>
      <c r="H204" s="1095"/>
    </row>
    <row r="205" spans="1:8" s="1064" customFormat="1" ht="14.25" customHeight="1" thickBot="1">
      <c r="A205" s="1076" t="s">
        <v>1405</v>
      </c>
      <c r="B205" s="1070" t="s">
        <v>1400</v>
      </c>
      <c r="C205" s="1070"/>
      <c r="D205" s="1070"/>
      <c r="E205" s="1070"/>
      <c r="F205" s="1088">
        <v>1080</v>
      </c>
      <c r="H205" s="1095"/>
    </row>
    <row r="206" spans="1:8" s="1064" customFormat="1" ht="14.25" customHeight="1" thickBot="1">
      <c r="A206" s="1076" t="s">
        <v>1407</v>
      </c>
      <c r="B206" s="1077" t="s">
        <v>1408</v>
      </c>
      <c r="C206" s="1077">
        <v>5450</v>
      </c>
      <c r="D206" s="1077">
        <v>5430</v>
      </c>
      <c r="E206" s="1077">
        <v>5700</v>
      </c>
      <c r="F206" s="1078">
        <v>1020</v>
      </c>
      <c r="H206" s="1095"/>
    </row>
    <row r="207" spans="1:8" s="1064" customFormat="1" ht="14.25" customHeight="1" thickBot="1">
      <c r="A207" s="1076" t="s">
        <v>1407</v>
      </c>
      <c r="B207" s="1070" t="s">
        <v>1071</v>
      </c>
      <c r="C207" s="1070">
        <v>5860</v>
      </c>
      <c r="D207" s="1070">
        <v>5820</v>
      </c>
      <c r="E207" s="1070">
        <v>6050</v>
      </c>
      <c r="F207" s="1088">
        <v>1080</v>
      </c>
      <c r="H207" s="1095"/>
    </row>
    <row r="208" spans="1:8" s="1064" customFormat="1" ht="14.25" customHeight="1" thickBot="1">
      <c r="A208" s="1076" t="s">
        <v>1407</v>
      </c>
      <c r="B208" s="1070" t="s">
        <v>1085</v>
      </c>
      <c r="C208" s="1070">
        <v>4630</v>
      </c>
      <c r="D208" s="1070">
        <v>4600</v>
      </c>
      <c r="E208" s="1070">
        <v>4840</v>
      </c>
      <c r="F208" s="1088">
        <v>900</v>
      </c>
      <c r="H208" s="1095"/>
    </row>
    <row r="209" spans="1:8" s="1064" customFormat="1" ht="14.25" customHeight="1" thickBot="1">
      <c r="A209" s="1076" t="s">
        <v>1407</v>
      </c>
      <c r="B209" s="1070" t="s">
        <v>1098</v>
      </c>
      <c r="C209" s="1070">
        <v>5320</v>
      </c>
      <c r="D209" s="1070">
        <v>5270</v>
      </c>
      <c r="E209" s="1070">
        <v>5540</v>
      </c>
      <c r="F209" s="1088">
        <v>980</v>
      </c>
      <c r="H209" s="1095"/>
    </row>
    <row r="210" spans="1:8" s="1064" customFormat="1" ht="14.25" customHeight="1" thickBot="1">
      <c r="A210" s="1076" t="s">
        <v>1407</v>
      </c>
      <c r="B210" s="1070" t="s">
        <v>1112</v>
      </c>
      <c r="C210" s="1070">
        <v>5760</v>
      </c>
      <c r="D210" s="1070">
        <v>5710</v>
      </c>
      <c r="E210" s="1070">
        <v>6010</v>
      </c>
      <c r="F210" s="1088">
        <v>870</v>
      </c>
      <c r="H210" s="1095"/>
    </row>
    <row r="211" spans="1:8" s="1064" customFormat="1" ht="14.25" customHeight="1" thickBot="1">
      <c r="A211" s="1076" t="s">
        <v>1407</v>
      </c>
      <c r="B211" s="1070" t="s">
        <v>1123</v>
      </c>
      <c r="C211" s="1070">
        <v>4160</v>
      </c>
      <c r="D211" s="1070">
        <v>4100</v>
      </c>
      <c r="E211" s="1070">
        <v>4270</v>
      </c>
      <c r="F211" s="1088">
        <v>790</v>
      </c>
      <c r="H211" s="1095"/>
    </row>
    <row r="212" spans="1:8" s="1064" customFormat="1" ht="14.25" customHeight="1" thickBot="1">
      <c r="A212" s="1076" t="s">
        <v>1407</v>
      </c>
      <c r="B212" s="1070" t="s">
        <v>1134</v>
      </c>
      <c r="C212" s="1070">
        <v>4880</v>
      </c>
      <c r="D212" s="1070">
        <v>4850</v>
      </c>
      <c r="E212" s="1070">
        <v>5110</v>
      </c>
      <c r="F212" s="1088">
        <v>940</v>
      </c>
      <c r="H212" s="1095"/>
    </row>
    <row r="213" spans="1:8" s="1064" customFormat="1" ht="14.25" customHeight="1" thickBot="1">
      <c r="A213" s="1076" t="s">
        <v>1407</v>
      </c>
      <c r="B213" s="1070" t="s">
        <v>1145</v>
      </c>
      <c r="C213" s="1070">
        <v>4640</v>
      </c>
      <c r="D213" s="1070">
        <v>4590</v>
      </c>
      <c r="E213" s="1070">
        <v>4700</v>
      </c>
      <c r="F213" s="1088">
        <v>1030</v>
      </c>
      <c r="H213" s="1095"/>
    </row>
    <row r="214" spans="1:8" s="1064" customFormat="1" ht="14.25" customHeight="1" thickBot="1">
      <c r="A214" s="1076" t="s">
        <v>1407</v>
      </c>
      <c r="B214" s="1070" t="s">
        <v>1157</v>
      </c>
      <c r="C214" s="1070">
        <v>4540</v>
      </c>
      <c r="D214" s="1070">
        <v>4490</v>
      </c>
      <c r="E214" s="1070">
        <v>4610</v>
      </c>
      <c r="F214" s="1097"/>
      <c r="H214" s="1095"/>
    </row>
    <row r="215" spans="1:8" s="1064" customFormat="1" ht="14.25" customHeight="1" thickBot="1">
      <c r="A215" s="1076" t="s">
        <v>1407</v>
      </c>
      <c r="B215" s="1070" t="s">
        <v>1167</v>
      </c>
      <c r="C215" s="1070">
        <v>5280</v>
      </c>
      <c r="D215" s="1070">
        <v>5250</v>
      </c>
      <c r="E215" s="1070">
        <v>5520</v>
      </c>
      <c r="F215" s="1088">
        <v>1000</v>
      </c>
      <c r="H215" s="1095"/>
    </row>
    <row r="216" spans="1:8" s="1064" customFormat="1" ht="14.25" customHeight="1" thickBot="1">
      <c r="A216" s="1076" t="s">
        <v>1407</v>
      </c>
      <c r="B216" s="1070" t="s">
        <v>1177</v>
      </c>
      <c r="C216" s="1070">
        <v>5100</v>
      </c>
      <c r="D216" s="1070">
        <v>5050</v>
      </c>
      <c r="E216" s="1070">
        <v>5300</v>
      </c>
      <c r="F216" s="1088">
        <v>950</v>
      </c>
      <c r="H216" s="1095"/>
    </row>
    <row r="217" spans="1:8" s="1064" customFormat="1" ht="14.25" customHeight="1" thickBot="1">
      <c r="A217" s="1076" t="s">
        <v>1407</v>
      </c>
      <c r="B217" s="1070" t="s">
        <v>1187</v>
      </c>
      <c r="C217" s="1070">
        <v>5370</v>
      </c>
      <c r="D217" s="1070">
        <v>5320</v>
      </c>
      <c r="E217" s="1070">
        <v>5410</v>
      </c>
      <c r="F217" s="1088">
        <v>950</v>
      </c>
      <c r="H217" s="1095"/>
    </row>
    <row r="218" spans="1:8" s="1064" customFormat="1" ht="14.25" customHeight="1" thickBot="1">
      <c r="A218" s="1076" t="s">
        <v>1407</v>
      </c>
      <c r="B218" s="1070" t="s">
        <v>1197</v>
      </c>
      <c r="C218" s="1070">
        <v>5540</v>
      </c>
      <c r="D218" s="1070">
        <v>5480</v>
      </c>
      <c r="E218" s="1070">
        <v>5740</v>
      </c>
      <c r="F218" s="1088">
        <v>1020</v>
      </c>
      <c r="H218" s="1095"/>
    </row>
    <row r="219" spans="1:8" s="1064" customFormat="1" ht="14.25" customHeight="1" thickBot="1">
      <c r="A219" s="1076" t="s">
        <v>1407</v>
      </c>
      <c r="B219" s="1070" t="s">
        <v>1207</v>
      </c>
      <c r="C219" s="1070">
        <v>5140</v>
      </c>
      <c r="D219" s="1070">
        <v>5100</v>
      </c>
      <c r="E219" s="1070">
        <v>5350</v>
      </c>
      <c r="F219" s="1088">
        <v>1120</v>
      </c>
      <c r="H219" s="1095"/>
    </row>
    <row r="220" spans="1:8" s="1064" customFormat="1" ht="14.25" customHeight="1" thickBot="1">
      <c r="A220" s="1076" t="s">
        <v>1407</v>
      </c>
      <c r="B220" s="1070" t="s">
        <v>1217</v>
      </c>
      <c r="C220" s="1070">
        <v>5040</v>
      </c>
      <c r="D220" s="1070">
        <v>5000</v>
      </c>
      <c r="E220" s="1070">
        <v>5240</v>
      </c>
      <c r="F220" s="1088">
        <v>980</v>
      </c>
      <c r="H220" s="1095"/>
    </row>
    <row r="221" spans="1:8" s="1064" customFormat="1" ht="14.25" customHeight="1" thickBot="1">
      <c r="A221" s="1076" t="s">
        <v>1407</v>
      </c>
      <c r="B221" s="1070" t="s">
        <v>1227</v>
      </c>
      <c r="C221" s="1098"/>
      <c r="D221" s="1098"/>
      <c r="E221" s="1098"/>
      <c r="F221" s="1088">
        <v>1070</v>
      </c>
      <c r="H221" s="1095"/>
    </row>
    <row r="222" spans="1:8" s="1064" customFormat="1" ht="14.25" customHeight="1" thickBot="1">
      <c r="A222" s="1076" t="s">
        <v>1407</v>
      </c>
      <c r="B222" s="1070" t="s">
        <v>1237</v>
      </c>
      <c r="C222" s="1098"/>
      <c r="D222" s="1098"/>
      <c r="E222" s="1098"/>
      <c r="F222" s="1088">
        <v>870</v>
      </c>
      <c r="H222" s="1095"/>
    </row>
    <row r="223" spans="1:8" s="1064" customFormat="1" ht="14.25" customHeight="1" thickBot="1">
      <c r="A223" s="1076" t="s">
        <v>1407</v>
      </c>
      <c r="B223" s="1070" t="s">
        <v>1247</v>
      </c>
      <c r="C223" s="1098"/>
      <c r="D223" s="1098"/>
      <c r="E223" s="1098"/>
      <c r="F223" s="1088">
        <v>940</v>
      </c>
      <c r="H223" s="1095"/>
    </row>
    <row r="224" spans="1:8" s="1064" customFormat="1" ht="14.25" customHeight="1" thickBot="1">
      <c r="A224" s="1076" t="s">
        <v>1407</v>
      </c>
      <c r="B224" s="1070" t="s">
        <v>1257</v>
      </c>
      <c r="C224" s="1098"/>
      <c r="D224" s="1098"/>
      <c r="E224" s="1098"/>
      <c r="F224" s="1088">
        <v>990</v>
      </c>
      <c r="H224" s="1095"/>
    </row>
    <row r="225" spans="1:8" s="1064" customFormat="1" ht="14.25" customHeight="1" thickBot="1">
      <c r="A225" s="1076" t="s">
        <v>1407</v>
      </c>
      <c r="B225" s="1070" t="s">
        <v>1266</v>
      </c>
      <c r="C225" s="1070">
        <v>5730</v>
      </c>
      <c r="D225" s="1070">
        <v>5680</v>
      </c>
      <c r="E225" s="1070">
        <v>6020</v>
      </c>
      <c r="F225" s="1088">
        <v>1000</v>
      </c>
      <c r="H225" s="1095"/>
    </row>
    <row r="226" spans="1:8" s="1064" customFormat="1" ht="14.25" customHeight="1" thickBot="1">
      <c r="A226" s="1076" t="s">
        <v>1407</v>
      </c>
      <c r="B226" s="1070" t="s">
        <v>1275</v>
      </c>
      <c r="C226" s="1070">
        <v>4970</v>
      </c>
      <c r="D226" s="1070">
        <v>4940</v>
      </c>
      <c r="E226" s="1070">
        <v>5180</v>
      </c>
      <c r="F226" s="1088">
        <v>960</v>
      </c>
      <c r="H226" s="1095"/>
    </row>
    <row r="227" spans="1:8" s="1064" customFormat="1" ht="14.25" customHeight="1" thickBot="1">
      <c r="A227" s="1076" t="s">
        <v>1407</v>
      </c>
      <c r="B227" s="1070" t="s">
        <v>1283</v>
      </c>
      <c r="C227" s="1070">
        <v>5550</v>
      </c>
      <c r="D227" s="1070">
        <v>5500</v>
      </c>
      <c r="E227" s="1070">
        <v>5780</v>
      </c>
      <c r="F227" s="1088">
        <v>940</v>
      </c>
      <c r="H227" s="1095"/>
    </row>
    <row r="228" spans="1:8" s="1064" customFormat="1" ht="14.25" customHeight="1" thickBot="1">
      <c r="A228" s="1076" t="s">
        <v>1407</v>
      </c>
      <c r="B228" s="1070" t="s">
        <v>1290</v>
      </c>
      <c r="C228" s="1070">
        <v>5460</v>
      </c>
      <c r="D228" s="1070">
        <v>5420</v>
      </c>
      <c r="E228" s="1070">
        <v>5690</v>
      </c>
      <c r="F228" s="1088">
        <v>910</v>
      </c>
      <c r="H228" s="1095"/>
    </row>
    <row r="229" spans="1:8" s="1064" customFormat="1" ht="14.25" customHeight="1" thickBot="1">
      <c r="A229" s="1076" t="s">
        <v>1407</v>
      </c>
      <c r="B229" s="1070" t="s">
        <v>1297</v>
      </c>
      <c r="C229" s="1070">
        <v>5310</v>
      </c>
      <c r="D229" s="1070">
        <v>5270</v>
      </c>
      <c r="E229" s="1070">
        <v>5510</v>
      </c>
      <c r="F229" s="1097"/>
      <c r="H229" s="1095"/>
    </row>
    <row r="230" spans="1:8" s="1064" customFormat="1" ht="14.25" customHeight="1" thickBot="1">
      <c r="A230" s="1076" t="s">
        <v>1407</v>
      </c>
      <c r="B230" s="1070" t="s">
        <v>1304</v>
      </c>
      <c r="C230" s="1070">
        <v>4540</v>
      </c>
      <c r="D230" s="1070">
        <v>4500</v>
      </c>
      <c r="E230" s="1070">
        <v>4730</v>
      </c>
      <c r="F230" s="1097"/>
      <c r="H230" s="1095"/>
    </row>
    <row r="231" spans="1:8" s="1064" customFormat="1" ht="14.25" customHeight="1" thickBot="1">
      <c r="A231" s="1076" t="s">
        <v>1407</v>
      </c>
      <c r="B231" s="1070" t="s">
        <v>1311</v>
      </c>
      <c r="C231" s="1070">
        <v>4480</v>
      </c>
      <c r="D231" s="1070">
        <v>4410</v>
      </c>
      <c r="E231" s="1070">
        <v>4640</v>
      </c>
      <c r="F231" s="1097"/>
      <c r="H231" s="1095"/>
    </row>
    <row r="232" spans="1:8" s="1064" customFormat="1" ht="14.25" customHeight="1" thickBot="1">
      <c r="A232" s="1076" t="s">
        <v>1407</v>
      </c>
      <c r="B232" s="1070" t="s">
        <v>1318</v>
      </c>
      <c r="C232" s="1070">
        <v>5670</v>
      </c>
      <c r="D232" s="1070">
        <v>5600</v>
      </c>
      <c r="E232" s="1070">
        <v>5890</v>
      </c>
      <c r="F232" s="1088">
        <v>1150</v>
      </c>
      <c r="H232" s="1095"/>
    </row>
    <row r="233" spans="1:8" s="1064" customFormat="1" ht="14.25" customHeight="1" thickBot="1">
      <c r="A233" s="1076" t="s">
        <v>1407</v>
      </c>
      <c r="B233" s="1070" t="s">
        <v>1325</v>
      </c>
      <c r="C233" s="1070">
        <v>4590</v>
      </c>
      <c r="D233" s="1070">
        <v>4500</v>
      </c>
      <c r="E233" s="1070">
        <v>4600</v>
      </c>
      <c r="F233" s="1097"/>
      <c r="H233" s="1095"/>
    </row>
    <row r="234" spans="1:8" s="1064" customFormat="1" ht="14.25" customHeight="1" thickBot="1">
      <c r="A234" s="1076" t="s">
        <v>1407</v>
      </c>
      <c r="B234" s="1070" t="s">
        <v>2418</v>
      </c>
      <c r="C234" s="1070">
        <v>3990</v>
      </c>
      <c r="D234" s="1070">
        <v>3950</v>
      </c>
      <c r="E234" s="1070">
        <v>4180</v>
      </c>
      <c r="F234" s="1097"/>
      <c r="H234" s="1095"/>
    </row>
    <row r="235" spans="1:8" s="1064" customFormat="1" ht="14.25" customHeight="1" thickBot="1">
      <c r="A235" s="1076" t="s">
        <v>1407</v>
      </c>
      <c r="B235" s="1070" t="s">
        <v>1334</v>
      </c>
      <c r="C235" s="1070">
        <v>5590</v>
      </c>
      <c r="D235" s="1070">
        <v>5540</v>
      </c>
      <c r="E235" s="1070">
        <v>5810</v>
      </c>
      <c r="F235" s="1088">
        <v>970</v>
      </c>
      <c r="H235" s="1095"/>
    </row>
    <row r="236" spans="1:8" s="1064" customFormat="1" ht="14.25" customHeight="1" thickBot="1">
      <c r="A236" s="1076" t="s">
        <v>1407</v>
      </c>
      <c r="B236" s="1070" t="s">
        <v>1339</v>
      </c>
      <c r="C236" s="1070"/>
      <c r="D236" s="1070"/>
      <c r="E236" s="1070"/>
      <c r="F236" s="1088">
        <v>1020</v>
      </c>
      <c r="H236" s="1095"/>
    </row>
    <row r="237" spans="1:8" s="1064" customFormat="1" ht="14.25" customHeight="1" thickBot="1">
      <c r="A237" s="1076" t="s">
        <v>1407</v>
      </c>
      <c r="B237" s="1070" t="s">
        <v>1344</v>
      </c>
      <c r="C237" s="1070"/>
      <c r="D237" s="1070"/>
      <c r="E237" s="1070"/>
      <c r="F237" s="1088">
        <v>960</v>
      </c>
      <c r="H237" s="1095"/>
    </row>
    <row r="238" spans="1:8" s="1064" customFormat="1" ht="14.25" customHeight="1" thickBot="1">
      <c r="A238" s="1076" t="s">
        <v>1407</v>
      </c>
      <c r="B238" s="1070" t="s">
        <v>1349</v>
      </c>
      <c r="C238" s="1070"/>
      <c r="D238" s="1070"/>
      <c r="E238" s="1070"/>
      <c r="F238" s="1088">
        <v>960</v>
      </c>
      <c r="H238" s="1095"/>
    </row>
    <row r="239" spans="1:8" s="1064" customFormat="1" ht="14.25" customHeight="1" thickBot="1">
      <c r="A239" s="1076" t="s">
        <v>1407</v>
      </c>
      <c r="B239" s="1070" t="s">
        <v>1354</v>
      </c>
      <c r="C239" s="1070"/>
      <c r="D239" s="1070"/>
      <c r="E239" s="1070"/>
      <c r="F239" s="1088">
        <v>960</v>
      </c>
      <c r="H239" s="1095"/>
    </row>
    <row r="240" spans="1:8" s="1064" customFormat="1" ht="14.25" customHeight="1" thickBot="1">
      <c r="A240" s="1076" t="s">
        <v>1407</v>
      </c>
      <c r="B240" s="1070" t="s">
        <v>1358</v>
      </c>
      <c r="C240" s="1070"/>
      <c r="D240" s="1070"/>
      <c r="E240" s="1070"/>
      <c r="F240" s="1088">
        <v>990</v>
      </c>
      <c r="H240" s="1095"/>
    </row>
    <row r="241" spans="1:8" s="1064" customFormat="1" ht="14.25" customHeight="1" thickBot="1">
      <c r="A241" s="1076" t="s">
        <v>1407</v>
      </c>
      <c r="B241" s="1070" t="s">
        <v>1362</v>
      </c>
      <c r="C241" s="1070"/>
      <c r="D241" s="1070"/>
      <c r="E241" s="1070"/>
      <c r="F241" s="1088">
        <v>1000</v>
      </c>
      <c r="H241" s="1095"/>
    </row>
    <row r="242" spans="1:8" s="1064" customFormat="1" ht="14.25" customHeight="1" thickBot="1">
      <c r="A242" s="1076" t="s">
        <v>1407</v>
      </c>
      <c r="B242" s="1070" t="s">
        <v>1366</v>
      </c>
      <c r="C242" s="1070"/>
      <c r="D242" s="1070"/>
      <c r="E242" s="1070"/>
      <c r="F242" s="1088">
        <v>980</v>
      </c>
      <c r="H242" s="1095"/>
    </row>
    <row r="243" spans="1:8" s="1064" customFormat="1" ht="14.25" customHeight="1" thickBot="1">
      <c r="A243" s="1076" t="s">
        <v>1407</v>
      </c>
      <c r="B243" s="1070" t="s">
        <v>1370</v>
      </c>
      <c r="C243" s="1070"/>
      <c r="D243" s="1070"/>
      <c r="E243" s="1070"/>
      <c r="F243" s="1088">
        <v>970</v>
      </c>
      <c r="H243" s="1095"/>
    </row>
    <row r="244" spans="1:8" s="1064" customFormat="1" ht="14.25" customHeight="1" thickBot="1">
      <c r="A244" s="1076" t="s">
        <v>1407</v>
      </c>
      <c r="B244" s="1086" t="s">
        <v>1374</v>
      </c>
      <c r="C244" s="1086"/>
      <c r="D244" s="1086"/>
      <c r="E244" s="1086"/>
      <c r="F244" s="1096">
        <v>970</v>
      </c>
      <c r="H244" s="1095"/>
    </row>
    <row r="245" spans="1:8" s="1064" customFormat="1" ht="14.25" customHeight="1" thickBot="1">
      <c r="A245" s="1076" t="s">
        <v>1409</v>
      </c>
      <c r="B245" s="1077" t="s">
        <v>1410</v>
      </c>
      <c r="C245" s="1077">
        <v>4050</v>
      </c>
      <c r="D245" s="1077">
        <v>4020</v>
      </c>
      <c r="E245" s="1077">
        <v>4160</v>
      </c>
      <c r="F245" s="1078">
        <v>840</v>
      </c>
      <c r="H245" s="1095"/>
    </row>
    <row r="246" spans="1:8" s="1064" customFormat="1" ht="14.25" customHeight="1" thickBot="1">
      <c r="A246" s="1076" t="s">
        <v>1409</v>
      </c>
      <c r="B246" s="1070" t="s">
        <v>1072</v>
      </c>
      <c r="C246" s="1070">
        <v>4010</v>
      </c>
      <c r="D246" s="1070">
        <v>3960</v>
      </c>
      <c r="E246" s="1070">
        <v>4130</v>
      </c>
      <c r="F246" s="1088">
        <v>840</v>
      </c>
      <c r="H246" s="1095"/>
    </row>
    <row r="247" spans="1:8" s="1064" customFormat="1" ht="14.25" customHeight="1" thickBot="1">
      <c r="A247" s="1076" t="s">
        <v>1409</v>
      </c>
      <c r="B247" s="1070" t="s">
        <v>1411</v>
      </c>
      <c r="C247" s="1070">
        <v>3170</v>
      </c>
      <c r="D247" s="1070">
        <v>3140</v>
      </c>
      <c r="E247" s="1070">
        <v>3270</v>
      </c>
      <c r="F247" s="1088">
        <v>640</v>
      </c>
      <c r="H247" s="1095"/>
    </row>
    <row r="248" spans="1:8" s="1064" customFormat="1" ht="14.25" customHeight="1" thickBot="1">
      <c r="A248" s="1076" t="s">
        <v>1409</v>
      </c>
      <c r="B248" s="1070" t="s">
        <v>1412</v>
      </c>
      <c r="C248" s="1070">
        <v>3140</v>
      </c>
      <c r="D248" s="1070">
        <v>3120</v>
      </c>
      <c r="E248" s="1070">
        <v>3240</v>
      </c>
      <c r="F248" s="1088">
        <v>620</v>
      </c>
      <c r="H248" s="1095"/>
    </row>
    <row r="249" spans="1:8" s="1064" customFormat="1" ht="14.25" customHeight="1" thickBot="1">
      <c r="A249" s="1076" t="s">
        <v>1409</v>
      </c>
      <c r="B249" s="1070" t="s">
        <v>1113</v>
      </c>
      <c r="C249" s="1070">
        <v>3200</v>
      </c>
      <c r="D249" s="1070">
        <v>3100</v>
      </c>
      <c r="E249" s="1070">
        <v>3230</v>
      </c>
      <c r="F249" s="1088">
        <v>750</v>
      </c>
      <c r="H249" s="1095"/>
    </row>
    <row r="250" spans="1:8" s="1064" customFormat="1" ht="14.25" customHeight="1" thickBot="1">
      <c r="A250" s="1076" t="s">
        <v>1409</v>
      </c>
      <c r="B250" s="1070" t="s">
        <v>1124</v>
      </c>
      <c r="C250" s="1070">
        <v>4060</v>
      </c>
      <c r="D250" s="1070">
        <v>4000</v>
      </c>
      <c r="E250" s="1070">
        <v>4140</v>
      </c>
      <c r="F250" s="1088">
        <v>790</v>
      </c>
      <c r="H250" s="1095"/>
    </row>
    <row r="251" spans="1:8" s="1064" customFormat="1" ht="14.25" customHeight="1" thickBot="1">
      <c r="A251" s="1076" t="s">
        <v>1409</v>
      </c>
      <c r="B251" s="1070" t="s">
        <v>1135</v>
      </c>
      <c r="C251" s="1070">
        <v>3990</v>
      </c>
      <c r="D251" s="1070">
        <v>3970</v>
      </c>
      <c r="E251" s="1070">
        <v>4110</v>
      </c>
      <c r="F251" s="1088">
        <v>730</v>
      </c>
      <c r="H251" s="1095"/>
    </row>
    <row r="252" spans="1:8" s="1064" customFormat="1" ht="14.25" customHeight="1" thickBot="1">
      <c r="A252" s="1076" t="s">
        <v>1409</v>
      </c>
      <c r="B252" s="1070" t="s">
        <v>1146</v>
      </c>
      <c r="C252" s="1070">
        <v>3560</v>
      </c>
      <c r="D252" s="1070">
        <v>3530</v>
      </c>
      <c r="E252" s="1070">
        <v>3650</v>
      </c>
      <c r="F252" s="1088">
        <v>750</v>
      </c>
      <c r="H252" s="1095"/>
    </row>
    <row r="253" spans="1:8" s="1064" customFormat="1" ht="14.25" customHeight="1" thickBot="1">
      <c r="A253" s="1076" t="s">
        <v>1409</v>
      </c>
      <c r="B253" s="1070" t="s">
        <v>1158</v>
      </c>
      <c r="C253" s="1070">
        <v>3780</v>
      </c>
      <c r="D253" s="1070">
        <v>3750</v>
      </c>
      <c r="E253" s="1070">
        <v>3870</v>
      </c>
      <c r="F253" s="1088">
        <v>770</v>
      </c>
      <c r="H253" s="1095"/>
    </row>
    <row r="254" spans="1:8" s="1064" customFormat="1" ht="14.25" customHeight="1" thickBot="1">
      <c r="A254" s="1076" t="s">
        <v>1409</v>
      </c>
      <c r="B254" s="1070" t="s">
        <v>1168</v>
      </c>
      <c r="C254" s="1098"/>
      <c r="D254" s="1098"/>
      <c r="E254" s="1098"/>
      <c r="F254" s="1088">
        <v>740</v>
      </c>
      <c r="H254" s="1095"/>
    </row>
    <row r="255" spans="1:8" s="1064" customFormat="1" ht="14.25" customHeight="1" thickBot="1">
      <c r="A255" s="1076" t="s">
        <v>1409</v>
      </c>
      <c r="B255" s="1070" t="s">
        <v>1178</v>
      </c>
      <c r="C255" s="1098"/>
      <c r="D255" s="1098"/>
      <c r="E255" s="1098"/>
      <c r="F255" s="1088">
        <v>760</v>
      </c>
      <c r="H255" s="1095"/>
    </row>
    <row r="256" spans="1:8" s="1064" customFormat="1" ht="14.25" customHeight="1" thickBot="1">
      <c r="A256" s="1076" t="s">
        <v>1409</v>
      </c>
      <c r="B256" s="1070" t="s">
        <v>1188</v>
      </c>
      <c r="C256" s="1070">
        <v>3760</v>
      </c>
      <c r="D256" s="1070">
        <v>3730</v>
      </c>
      <c r="E256" s="1070">
        <v>3870</v>
      </c>
      <c r="F256" s="1088">
        <v>830</v>
      </c>
      <c r="H256" s="1095"/>
    </row>
    <row r="257" spans="1:8" s="1064" customFormat="1" ht="14.25" customHeight="1" thickBot="1">
      <c r="A257" s="1076" t="s">
        <v>1409</v>
      </c>
      <c r="B257" s="1070" t="s">
        <v>1198</v>
      </c>
      <c r="C257" s="1070">
        <v>3570</v>
      </c>
      <c r="D257" s="1070">
        <v>3540</v>
      </c>
      <c r="E257" s="1070">
        <v>3650</v>
      </c>
      <c r="F257" s="1088">
        <v>790</v>
      </c>
      <c r="H257" s="1095"/>
    </row>
    <row r="258" spans="1:8" s="1064" customFormat="1" ht="14.25" customHeight="1" thickBot="1">
      <c r="A258" s="1076" t="s">
        <v>1409</v>
      </c>
      <c r="B258" s="1070" t="s">
        <v>1208</v>
      </c>
      <c r="C258" s="1070">
        <v>3410</v>
      </c>
      <c r="D258" s="1070">
        <v>3380</v>
      </c>
      <c r="E258" s="1070">
        <v>3500</v>
      </c>
      <c r="F258" s="1088">
        <v>830</v>
      </c>
      <c r="H258" s="1095"/>
    </row>
    <row r="259" spans="1:8" s="1064" customFormat="1" ht="14.25" customHeight="1" thickBot="1">
      <c r="A259" s="1076" t="s">
        <v>1409</v>
      </c>
      <c r="B259" s="1070" t="s">
        <v>1218</v>
      </c>
      <c r="C259" s="1070">
        <v>3870</v>
      </c>
      <c r="D259" s="1070">
        <v>3840</v>
      </c>
      <c r="E259" s="1070">
        <v>3970</v>
      </c>
      <c r="F259" s="1088">
        <v>830</v>
      </c>
      <c r="H259" s="1095"/>
    </row>
    <row r="260" spans="1:8" s="1064" customFormat="1" ht="14.25" customHeight="1" thickBot="1">
      <c r="A260" s="1076" t="s">
        <v>1409</v>
      </c>
      <c r="B260" s="1070" t="s">
        <v>1228</v>
      </c>
      <c r="C260" s="1070">
        <v>3700</v>
      </c>
      <c r="D260" s="1070">
        <v>3660</v>
      </c>
      <c r="E260" s="1070">
        <v>3810</v>
      </c>
      <c r="F260" s="1088">
        <v>790</v>
      </c>
      <c r="H260" s="1095"/>
    </row>
    <row r="261" spans="1:8" s="1064" customFormat="1" ht="14.25" customHeight="1" thickBot="1">
      <c r="A261" s="1076" t="s">
        <v>1409</v>
      </c>
      <c r="B261" s="1070" t="s">
        <v>1238</v>
      </c>
      <c r="C261" s="1070">
        <v>3470</v>
      </c>
      <c r="D261" s="1070">
        <v>3430</v>
      </c>
      <c r="E261" s="1070">
        <v>3640</v>
      </c>
      <c r="F261" s="1088">
        <v>760</v>
      </c>
      <c r="H261" s="1095"/>
    </row>
    <row r="262" spans="1:8" s="1064" customFormat="1" ht="14.25" customHeight="1" thickBot="1">
      <c r="A262" s="1076" t="s">
        <v>1409</v>
      </c>
      <c r="B262" s="1070" t="s">
        <v>1248</v>
      </c>
      <c r="C262" s="1070">
        <v>3510</v>
      </c>
      <c r="D262" s="1070">
        <v>3470</v>
      </c>
      <c r="E262" s="1070">
        <v>3680</v>
      </c>
      <c r="F262" s="1097"/>
      <c r="H262" s="1095"/>
    </row>
    <row r="263" spans="1:8" s="1064" customFormat="1" ht="14.25" customHeight="1" thickBot="1">
      <c r="A263" s="1076" t="s">
        <v>1409</v>
      </c>
      <c r="B263" s="1070" t="s">
        <v>1258</v>
      </c>
      <c r="C263" s="1070">
        <v>3960</v>
      </c>
      <c r="D263" s="1070">
        <v>3930</v>
      </c>
      <c r="E263" s="1070">
        <v>4070</v>
      </c>
      <c r="F263" s="1088">
        <v>830</v>
      </c>
      <c r="H263" s="1095"/>
    </row>
    <row r="264" spans="1:8" s="1064" customFormat="1" ht="14.25" customHeight="1" thickBot="1">
      <c r="A264" s="1076" t="s">
        <v>1409</v>
      </c>
      <c r="B264" s="1070" t="s">
        <v>1267</v>
      </c>
      <c r="C264" s="1070">
        <v>4010</v>
      </c>
      <c r="D264" s="1070">
        <v>3980</v>
      </c>
      <c r="E264" s="1070">
        <v>4150</v>
      </c>
      <c r="F264" s="1088">
        <v>760</v>
      </c>
      <c r="H264" s="1095"/>
    </row>
    <row r="265" spans="1:8" s="1064" customFormat="1" ht="14.25" customHeight="1" thickBot="1">
      <c r="A265" s="1076" t="s">
        <v>1409</v>
      </c>
      <c r="B265" s="1070" t="s">
        <v>1276</v>
      </c>
      <c r="C265" s="1070">
        <v>3910</v>
      </c>
      <c r="D265" s="1070">
        <v>3890</v>
      </c>
      <c r="E265" s="1070">
        <v>4040</v>
      </c>
      <c r="F265" s="1088">
        <v>780</v>
      </c>
      <c r="H265" s="1095"/>
    </row>
    <row r="266" spans="1:8" s="1064" customFormat="1" ht="14.25" customHeight="1" thickBot="1">
      <c r="A266" s="1076" t="s">
        <v>1409</v>
      </c>
      <c r="B266" s="1070" t="s">
        <v>1284</v>
      </c>
      <c r="C266" s="1070">
        <v>3930</v>
      </c>
      <c r="D266" s="1070">
        <v>3900</v>
      </c>
      <c r="E266" s="1070">
        <v>4080</v>
      </c>
      <c r="F266" s="1088">
        <v>770</v>
      </c>
      <c r="H266" s="1095"/>
    </row>
    <row r="267" spans="1:8" s="1064" customFormat="1" ht="14.25" customHeight="1" thickBot="1">
      <c r="A267" s="1076" t="s">
        <v>1409</v>
      </c>
      <c r="B267" s="1070" t="s">
        <v>1291</v>
      </c>
      <c r="C267" s="1070">
        <v>3800</v>
      </c>
      <c r="D267" s="1070">
        <v>3780</v>
      </c>
      <c r="E267" s="1070">
        <v>3930</v>
      </c>
      <c r="F267" s="1097"/>
      <c r="H267" s="1095"/>
    </row>
    <row r="268" spans="1:8" s="1064" customFormat="1" ht="14.25" customHeight="1" thickBot="1">
      <c r="A268" s="1076" t="s">
        <v>1409</v>
      </c>
      <c r="B268" s="1070" t="s">
        <v>1298</v>
      </c>
      <c r="C268" s="1070">
        <v>3460</v>
      </c>
      <c r="D268" s="1070">
        <v>3430</v>
      </c>
      <c r="E268" s="1070">
        <v>3560</v>
      </c>
      <c r="F268" s="1088">
        <v>840</v>
      </c>
      <c r="H268" s="1095"/>
    </row>
    <row r="269" spans="1:8" s="1064" customFormat="1" ht="14.25" customHeight="1" thickBot="1">
      <c r="A269" s="1076" t="s">
        <v>1409</v>
      </c>
      <c r="B269" s="1070" t="s">
        <v>1305</v>
      </c>
      <c r="C269" s="1070">
        <v>3210</v>
      </c>
      <c r="D269" s="1070">
        <v>3190</v>
      </c>
      <c r="E269" s="1070">
        <v>3310</v>
      </c>
      <c r="F269" s="1088">
        <v>730</v>
      </c>
      <c r="H269" s="1095"/>
    </row>
    <row r="270" spans="1:8" s="1064" customFormat="1" ht="14.25" customHeight="1" thickBot="1">
      <c r="A270" s="1076" t="s">
        <v>1409</v>
      </c>
      <c r="B270" s="1070" t="s">
        <v>1312</v>
      </c>
      <c r="C270" s="1070">
        <v>3240</v>
      </c>
      <c r="D270" s="1070">
        <v>3210</v>
      </c>
      <c r="E270" s="1070">
        <v>3390</v>
      </c>
      <c r="F270" s="1088">
        <v>820</v>
      </c>
      <c r="H270" s="1095"/>
    </row>
    <row r="271" spans="1:8" s="1064" customFormat="1" ht="14.25" customHeight="1" thickBot="1">
      <c r="A271" s="1076" t="s">
        <v>1409</v>
      </c>
      <c r="B271" s="1070" t="s">
        <v>1319</v>
      </c>
      <c r="C271" s="1070">
        <v>3300</v>
      </c>
      <c r="D271" s="1070">
        <v>3270</v>
      </c>
      <c r="E271" s="1070">
        <v>3380</v>
      </c>
      <c r="F271" s="1088">
        <v>750</v>
      </c>
      <c r="H271" s="1095"/>
    </row>
    <row r="272" spans="1:8" s="1064" customFormat="1" ht="14.25" customHeight="1" thickBot="1">
      <c r="A272" s="1076" t="s">
        <v>1409</v>
      </c>
      <c r="B272" s="1070" t="s">
        <v>1326</v>
      </c>
      <c r="C272" s="1098"/>
      <c r="D272" s="1098"/>
      <c r="E272" s="1098"/>
      <c r="F272" s="1088">
        <v>740</v>
      </c>
      <c r="H272" s="1095"/>
    </row>
    <row r="273" spans="1:8" s="1064" customFormat="1" ht="14.25" customHeight="1" thickBot="1">
      <c r="A273" s="1076" t="s">
        <v>1409</v>
      </c>
      <c r="B273" s="1070" t="s">
        <v>1330</v>
      </c>
      <c r="C273" s="1070">
        <v>3130</v>
      </c>
      <c r="D273" s="1070">
        <v>3100</v>
      </c>
      <c r="E273" s="1070">
        <v>3230</v>
      </c>
      <c r="F273" s="1088">
        <v>700</v>
      </c>
      <c r="H273" s="1095"/>
    </row>
    <row r="274" spans="1:8" s="1064" customFormat="1" ht="14.25" customHeight="1" thickBot="1">
      <c r="A274" s="1076" t="s">
        <v>1409</v>
      </c>
      <c r="B274" s="1070" t="s">
        <v>1335</v>
      </c>
      <c r="C274" s="1070">
        <v>3460</v>
      </c>
      <c r="D274" s="1070">
        <v>3430</v>
      </c>
      <c r="E274" s="1070">
        <v>3560</v>
      </c>
      <c r="F274" s="1088">
        <v>690</v>
      </c>
      <c r="H274" s="1095"/>
    </row>
    <row r="275" spans="1:8" s="1064" customFormat="1" ht="14.25" customHeight="1" thickBot="1">
      <c r="A275" s="1076" t="s">
        <v>1409</v>
      </c>
      <c r="B275" s="1070" t="s">
        <v>1340</v>
      </c>
      <c r="C275" s="1070">
        <v>4040</v>
      </c>
      <c r="D275" s="1070">
        <v>4020</v>
      </c>
      <c r="E275" s="1070">
        <v>4160</v>
      </c>
      <c r="F275" s="1088">
        <v>820</v>
      </c>
      <c r="H275" s="1095"/>
    </row>
    <row r="276" spans="1:8" s="1064" customFormat="1" ht="14.25" customHeight="1" thickBot="1">
      <c r="A276" s="1076" t="s">
        <v>1409</v>
      </c>
      <c r="B276" s="1070" t="s">
        <v>1345</v>
      </c>
      <c r="C276" s="1070">
        <v>3270</v>
      </c>
      <c r="D276" s="1070">
        <v>3240</v>
      </c>
      <c r="E276" s="1070">
        <v>3350</v>
      </c>
      <c r="F276" s="1088">
        <v>680</v>
      </c>
      <c r="H276" s="1095"/>
    </row>
    <row r="277" spans="1:8" s="1064" customFormat="1" ht="14.25" customHeight="1" thickBot="1">
      <c r="A277" s="1076" t="s">
        <v>1409</v>
      </c>
      <c r="B277" s="1070" t="s">
        <v>1350</v>
      </c>
      <c r="C277" s="1070">
        <v>2930</v>
      </c>
      <c r="D277" s="1070">
        <v>2900</v>
      </c>
      <c r="E277" s="1070">
        <v>3000</v>
      </c>
      <c r="F277" s="1088">
        <v>640</v>
      </c>
      <c r="H277" s="1095"/>
    </row>
    <row r="278" spans="1:8" s="1064" customFormat="1" ht="14.25" customHeight="1" thickBot="1">
      <c r="A278" s="1076" t="s">
        <v>1409</v>
      </c>
      <c r="B278" s="1070" t="s">
        <v>1355</v>
      </c>
      <c r="C278" s="1070">
        <v>4080</v>
      </c>
      <c r="D278" s="1070">
        <v>4030</v>
      </c>
      <c r="E278" s="1070">
        <v>4140</v>
      </c>
      <c r="F278" s="1088">
        <v>850</v>
      </c>
      <c r="H278" s="1095"/>
    </row>
    <row r="279" spans="1:8" s="1064" customFormat="1" ht="14.25" customHeight="1" thickBot="1">
      <c r="A279" s="1076" t="s">
        <v>1409</v>
      </c>
      <c r="B279" s="1070" t="s">
        <v>1359</v>
      </c>
      <c r="C279" s="1070"/>
      <c r="D279" s="1070"/>
      <c r="E279" s="1070"/>
      <c r="F279" s="1088">
        <v>760</v>
      </c>
      <c r="H279" s="1095"/>
    </row>
    <row r="280" spans="1:8" s="1064" customFormat="1" ht="14.25" customHeight="1" thickBot="1">
      <c r="A280" s="1076" t="s">
        <v>1409</v>
      </c>
      <c r="B280" s="1070" t="s">
        <v>1363</v>
      </c>
      <c r="C280" s="1070"/>
      <c r="D280" s="1070"/>
      <c r="E280" s="1070"/>
      <c r="F280" s="1088">
        <v>760</v>
      </c>
      <c r="H280" s="1095"/>
    </row>
    <row r="281" spans="1:8" s="1064" customFormat="1" ht="14.25" customHeight="1" thickBot="1">
      <c r="A281" s="1076" t="s">
        <v>1409</v>
      </c>
      <c r="B281" s="1070" t="s">
        <v>1367</v>
      </c>
      <c r="C281" s="1070"/>
      <c r="D281" s="1070"/>
      <c r="E281" s="1070"/>
      <c r="F281" s="1088">
        <v>780</v>
      </c>
      <c r="H281" s="1095"/>
    </row>
    <row r="282" spans="1:8" s="1064" customFormat="1" ht="14.25" customHeight="1" thickBot="1">
      <c r="A282" s="1076" t="s">
        <v>1409</v>
      </c>
      <c r="B282" s="1070" t="s">
        <v>1371</v>
      </c>
      <c r="C282" s="1070"/>
      <c r="D282" s="1070"/>
      <c r="E282" s="1070"/>
      <c r="F282" s="1088">
        <v>730</v>
      </c>
      <c r="H282" s="1095"/>
    </row>
    <row r="283" spans="1:8" s="1064" customFormat="1" ht="14.25" customHeight="1" thickBot="1">
      <c r="A283" s="1076" t="s">
        <v>1409</v>
      </c>
      <c r="B283" s="1070" t="s">
        <v>1375</v>
      </c>
      <c r="C283" s="1070"/>
      <c r="D283" s="1070"/>
      <c r="E283" s="1070"/>
      <c r="F283" s="1088">
        <v>770</v>
      </c>
      <c r="H283" s="1095"/>
    </row>
    <row r="284" spans="1:8" s="1064" customFormat="1" ht="14.25" customHeight="1" thickBot="1">
      <c r="A284" s="1076" t="s">
        <v>1409</v>
      </c>
      <c r="B284" s="1070" t="s">
        <v>1378</v>
      </c>
      <c r="C284" s="1070"/>
      <c r="D284" s="1070"/>
      <c r="E284" s="1070"/>
      <c r="F284" s="1088">
        <v>640</v>
      </c>
      <c r="H284" s="1095"/>
    </row>
    <row r="285" spans="1:8" s="1064" customFormat="1" ht="14.25" customHeight="1" thickBot="1">
      <c r="A285" s="1076" t="s">
        <v>1409</v>
      </c>
      <c r="B285" s="1070" t="s">
        <v>1381</v>
      </c>
      <c r="C285" s="1070"/>
      <c r="D285" s="1070"/>
      <c r="E285" s="1070"/>
      <c r="F285" s="1088">
        <v>640</v>
      </c>
      <c r="H285" s="1095"/>
    </row>
    <row r="286" spans="1:8" s="1064" customFormat="1" ht="14.25" customHeight="1" thickBot="1">
      <c r="A286" s="1076" t="s">
        <v>1409</v>
      </c>
      <c r="B286" s="1070" t="s">
        <v>1384</v>
      </c>
      <c r="C286" s="1070"/>
      <c r="D286" s="1070"/>
      <c r="E286" s="1070"/>
      <c r="F286" s="1088">
        <v>850</v>
      </c>
      <c r="H286" s="1095"/>
    </row>
    <row r="287" spans="1:8" s="1064" customFormat="1" ht="14.25" customHeight="1" thickBot="1">
      <c r="A287" s="1076" t="s">
        <v>1409</v>
      </c>
      <c r="B287" s="1070" t="s">
        <v>1387</v>
      </c>
      <c r="C287" s="1070"/>
      <c r="D287" s="1070"/>
      <c r="E287" s="1070"/>
      <c r="F287" s="1088">
        <v>760</v>
      </c>
      <c r="H287" s="1095"/>
    </row>
    <row r="288" spans="1:8" s="1064" customFormat="1" ht="14.25" customHeight="1" thickBot="1">
      <c r="A288" s="1076" t="s">
        <v>1409</v>
      </c>
      <c r="B288" s="1070" t="s">
        <v>1390</v>
      </c>
      <c r="C288" s="1070"/>
      <c r="D288" s="1070"/>
      <c r="E288" s="1070"/>
      <c r="F288" s="1088">
        <v>830</v>
      </c>
      <c r="H288" s="1095"/>
    </row>
    <row r="289" spans="1:8" s="1064" customFormat="1" ht="14.25" customHeight="1" thickBot="1">
      <c r="A289" s="1076" t="s">
        <v>1409</v>
      </c>
      <c r="B289" s="1086" t="s">
        <v>1393</v>
      </c>
      <c r="C289" s="1086"/>
      <c r="D289" s="1086"/>
      <c r="E289" s="1086"/>
      <c r="F289" s="1096">
        <v>680</v>
      </c>
      <c r="H289" s="1095"/>
    </row>
    <row r="290" spans="1:8" s="1064" customFormat="1" ht="14.25" customHeight="1" thickBot="1">
      <c r="A290" s="1076" t="s">
        <v>1413</v>
      </c>
      <c r="B290" s="1077" t="s">
        <v>1414</v>
      </c>
      <c r="C290" s="1077">
        <v>2770</v>
      </c>
      <c r="D290" s="1077">
        <v>2740</v>
      </c>
      <c r="E290" s="1077">
        <v>2720</v>
      </c>
      <c r="F290" s="1099"/>
      <c r="H290" s="1095"/>
    </row>
    <row r="291" spans="1:8" s="1064" customFormat="1" ht="14.25" customHeight="1" thickBot="1">
      <c r="A291" s="1076" t="s">
        <v>1413</v>
      </c>
      <c r="B291" s="1070" t="s">
        <v>1073</v>
      </c>
      <c r="C291" s="1070">
        <v>2670</v>
      </c>
      <c r="D291" s="1070">
        <v>2640</v>
      </c>
      <c r="E291" s="1070">
        <v>2620</v>
      </c>
      <c r="F291" s="1097"/>
      <c r="H291" s="1095"/>
    </row>
    <row r="292" spans="1:8" s="1064" customFormat="1" ht="14.25" customHeight="1" thickBot="1">
      <c r="A292" s="1076" t="s">
        <v>1413</v>
      </c>
      <c r="B292" s="1070" t="s">
        <v>1415</v>
      </c>
      <c r="C292" s="1070">
        <v>2180</v>
      </c>
      <c r="D292" s="1070">
        <v>2140</v>
      </c>
      <c r="E292" s="1070">
        <v>2120</v>
      </c>
      <c r="F292" s="1088">
        <v>490</v>
      </c>
      <c r="H292" s="1095"/>
    </row>
    <row r="293" spans="1:8" s="1064" customFormat="1" ht="14.25" customHeight="1" thickBot="1">
      <c r="A293" s="1076" t="s">
        <v>1413</v>
      </c>
      <c r="B293" s="1070" t="s">
        <v>1416</v>
      </c>
      <c r="C293" s="1070"/>
      <c r="D293" s="1070"/>
      <c r="E293" s="1070"/>
      <c r="F293" s="1088">
        <v>470</v>
      </c>
      <c r="H293" s="1095"/>
    </row>
    <row r="294" spans="1:8" s="1064" customFormat="1" ht="14.25" customHeight="1" thickBot="1">
      <c r="A294" s="1076" t="s">
        <v>1413</v>
      </c>
      <c r="B294" s="1070" t="s">
        <v>1417</v>
      </c>
      <c r="C294" s="1070">
        <v>2730</v>
      </c>
      <c r="D294" s="1070">
        <v>2700</v>
      </c>
      <c r="E294" s="1070">
        <v>2680</v>
      </c>
      <c r="F294" s="1088">
        <v>490</v>
      </c>
      <c r="H294" s="1095"/>
    </row>
    <row r="295" spans="1:8" s="1064" customFormat="1" ht="14.25" customHeight="1" thickBot="1">
      <c r="A295" s="1076" t="s">
        <v>1413</v>
      </c>
      <c r="B295" s="1070" t="s">
        <v>1114</v>
      </c>
      <c r="C295" s="1070">
        <v>2380</v>
      </c>
      <c r="D295" s="1070">
        <v>2350</v>
      </c>
      <c r="E295" s="1070">
        <v>2330</v>
      </c>
      <c r="F295" s="1088">
        <v>530</v>
      </c>
      <c r="H295" s="1095"/>
    </row>
    <row r="296" spans="1:8" s="1064" customFormat="1" ht="14.25" customHeight="1" thickBot="1">
      <c r="A296" s="1076" t="s">
        <v>1413</v>
      </c>
      <c r="B296" s="1070" t="s">
        <v>1125</v>
      </c>
      <c r="C296" s="1070">
        <v>2650</v>
      </c>
      <c r="D296" s="1070">
        <v>2620</v>
      </c>
      <c r="E296" s="1070">
        <v>2590</v>
      </c>
      <c r="F296" s="1088">
        <v>590</v>
      </c>
      <c r="H296" s="1095"/>
    </row>
    <row r="297" spans="1:8" s="1064" customFormat="1" ht="14.25" customHeight="1" thickBot="1">
      <c r="A297" s="1076" t="s">
        <v>1413</v>
      </c>
      <c r="B297" s="1070" t="s">
        <v>1136</v>
      </c>
      <c r="C297" s="1070">
        <v>2700</v>
      </c>
      <c r="D297" s="1070">
        <v>2670</v>
      </c>
      <c r="E297" s="1070">
        <v>2650</v>
      </c>
      <c r="F297" s="1088">
        <v>630</v>
      </c>
      <c r="H297" s="1095"/>
    </row>
    <row r="298" spans="1:8" s="1064" customFormat="1" ht="14.25" customHeight="1" thickBot="1">
      <c r="A298" s="1076" t="s">
        <v>1413</v>
      </c>
      <c r="B298" s="1070" t="s">
        <v>1147</v>
      </c>
      <c r="C298" s="1070">
        <v>2650</v>
      </c>
      <c r="D298" s="1070">
        <v>2620</v>
      </c>
      <c r="E298" s="1070">
        <v>2590</v>
      </c>
      <c r="F298" s="1088">
        <v>640</v>
      </c>
      <c r="H298" s="1095"/>
    </row>
    <row r="299" spans="1:8" s="1064" customFormat="1" ht="14.25" customHeight="1" thickBot="1">
      <c r="A299" s="1076" t="s">
        <v>1413</v>
      </c>
      <c r="B299" s="1070" t="s">
        <v>1159</v>
      </c>
      <c r="C299" s="1070">
        <v>2500</v>
      </c>
      <c r="D299" s="1070">
        <v>2480</v>
      </c>
      <c r="E299" s="1070">
        <v>2460</v>
      </c>
      <c r="F299" s="1097"/>
      <c r="H299" s="1095"/>
    </row>
    <row r="300" spans="1:8" s="1064" customFormat="1" ht="14.25" customHeight="1" thickBot="1">
      <c r="A300" s="1076" t="s">
        <v>1413</v>
      </c>
      <c r="B300" s="1070" t="s">
        <v>1169</v>
      </c>
      <c r="C300" s="1070">
        <v>2760</v>
      </c>
      <c r="D300" s="1070">
        <v>2730</v>
      </c>
      <c r="E300" s="1070">
        <v>2700</v>
      </c>
      <c r="F300" s="1088">
        <v>630</v>
      </c>
      <c r="H300" s="1095"/>
    </row>
    <row r="301" spans="1:8" s="1064" customFormat="1" ht="14.25" customHeight="1" thickBot="1">
      <c r="A301" s="1076" t="s">
        <v>1413</v>
      </c>
      <c r="B301" s="1070" t="s">
        <v>1179</v>
      </c>
      <c r="C301" s="1070">
        <v>2510</v>
      </c>
      <c r="D301" s="1070">
        <v>2480</v>
      </c>
      <c r="E301" s="1070">
        <v>2460</v>
      </c>
      <c r="F301" s="1097"/>
      <c r="H301" s="1095"/>
    </row>
    <row r="302" spans="1:8" s="1064" customFormat="1" ht="14.25" customHeight="1" thickBot="1">
      <c r="A302" s="1076" t="s">
        <v>1413</v>
      </c>
      <c r="B302" s="1070" t="s">
        <v>1189</v>
      </c>
      <c r="C302" s="1070">
        <v>2480</v>
      </c>
      <c r="D302" s="1070">
        <v>2450</v>
      </c>
      <c r="E302" s="1070">
        <v>2420</v>
      </c>
      <c r="F302" s="1088">
        <v>600</v>
      </c>
      <c r="H302" s="1095"/>
    </row>
    <row r="303" spans="1:8" s="1064" customFormat="1" ht="14.25" customHeight="1" thickBot="1">
      <c r="A303" s="1076" t="s">
        <v>1413</v>
      </c>
      <c r="B303" s="1070" t="s">
        <v>1199</v>
      </c>
      <c r="C303" s="1070">
        <v>2270</v>
      </c>
      <c r="D303" s="1070">
        <v>2240</v>
      </c>
      <c r="E303" s="1070">
        <v>2210</v>
      </c>
      <c r="F303" s="1088">
        <v>540</v>
      </c>
      <c r="H303" s="1095"/>
    </row>
    <row r="304" spans="1:8" s="1064" customFormat="1" ht="14.25" customHeight="1" thickBot="1">
      <c r="A304" s="1076" t="s">
        <v>1413</v>
      </c>
      <c r="B304" s="1070" t="s">
        <v>1209</v>
      </c>
      <c r="C304" s="1070">
        <v>2310</v>
      </c>
      <c r="D304" s="1070">
        <v>2290</v>
      </c>
      <c r="E304" s="1070">
        <v>2270</v>
      </c>
      <c r="F304" s="1097"/>
      <c r="H304" s="1095"/>
    </row>
    <row r="305" spans="1:8" s="1064" customFormat="1" ht="14.25" customHeight="1" thickBot="1">
      <c r="A305" s="1076" t="s">
        <v>1413</v>
      </c>
      <c r="B305" s="1070" t="s">
        <v>1219</v>
      </c>
      <c r="C305" s="1070">
        <v>2490</v>
      </c>
      <c r="D305" s="1070">
        <v>2470</v>
      </c>
      <c r="E305" s="1070">
        <v>2440</v>
      </c>
      <c r="F305" s="1088">
        <v>560</v>
      </c>
      <c r="H305" s="1095"/>
    </row>
    <row r="306" spans="1:8" s="1064" customFormat="1" ht="14.25" customHeight="1" thickBot="1">
      <c r="A306" s="1076" t="s">
        <v>1413</v>
      </c>
      <c r="B306" s="1070" t="s">
        <v>1229</v>
      </c>
      <c r="C306" s="1070">
        <v>2420</v>
      </c>
      <c r="D306" s="1070">
        <v>2400</v>
      </c>
      <c r="E306" s="1070">
        <v>2380</v>
      </c>
      <c r="F306" s="1097"/>
      <c r="H306" s="1095"/>
    </row>
    <row r="307" spans="1:8" s="1064" customFormat="1" ht="14.25" customHeight="1" thickBot="1">
      <c r="A307" s="1076" t="s">
        <v>1413</v>
      </c>
      <c r="B307" s="1070" t="s">
        <v>1239</v>
      </c>
      <c r="C307" s="1070">
        <v>2770</v>
      </c>
      <c r="D307" s="1070">
        <v>2740</v>
      </c>
      <c r="E307" s="1070">
        <v>2710</v>
      </c>
      <c r="F307" s="1088">
        <v>650</v>
      </c>
      <c r="H307" s="1095"/>
    </row>
    <row r="308" spans="1:8" s="1064" customFormat="1" ht="14.25" customHeight="1" thickBot="1">
      <c r="A308" s="1076" t="s">
        <v>1413</v>
      </c>
      <c r="B308" s="1070" t="s">
        <v>1249</v>
      </c>
      <c r="C308" s="1070">
        <v>2610</v>
      </c>
      <c r="D308" s="1070">
        <v>2580</v>
      </c>
      <c r="E308" s="1070">
        <v>2550</v>
      </c>
      <c r="F308" s="1088">
        <v>580</v>
      </c>
      <c r="H308" s="1095"/>
    </row>
    <row r="309" spans="1:8" s="1064" customFormat="1" ht="14.25" customHeight="1" thickBot="1">
      <c r="A309" s="1076" t="s">
        <v>1413</v>
      </c>
      <c r="B309" s="1070" t="s">
        <v>1259</v>
      </c>
      <c r="C309" s="1070">
        <v>2690</v>
      </c>
      <c r="D309" s="1070">
        <v>2670</v>
      </c>
      <c r="E309" s="1070">
        <v>2650</v>
      </c>
      <c r="F309" s="1097"/>
      <c r="H309" s="1095"/>
    </row>
    <row r="310" spans="1:8" s="1064" customFormat="1" ht="14.25" customHeight="1" thickBot="1">
      <c r="A310" s="1076" t="s">
        <v>1413</v>
      </c>
      <c r="B310" s="1070" t="s">
        <v>1268</v>
      </c>
      <c r="C310" s="1070">
        <v>2360</v>
      </c>
      <c r="D310" s="1070">
        <v>2330</v>
      </c>
      <c r="E310" s="1070">
        <v>2310</v>
      </c>
      <c r="F310" s="1088">
        <v>560</v>
      </c>
      <c r="H310" s="1095"/>
    </row>
    <row r="311" spans="1:8" s="1064" customFormat="1" ht="14.25" customHeight="1" thickBot="1">
      <c r="A311" s="1076" t="s">
        <v>1413</v>
      </c>
      <c r="B311" s="1070" t="s">
        <v>1277</v>
      </c>
      <c r="C311" s="1070">
        <v>1970</v>
      </c>
      <c r="D311" s="1070">
        <v>1950</v>
      </c>
      <c r="E311" s="1070">
        <v>1920</v>
      </c>
      <c r="F311" s="1088">
        <v>470</v>
      </c>
      <c r="H311" s="1095"/>
    </row>
    <row r="312" spans="1:8" s="1064" customFormat="1" ht="14.25" customHeight="1" thickBot="1">
      <c r="A312" s="1076" t="s">
        <v>1413</v>
      </c>
      <c r="B312" s="1070" t="s">
        <v>1285</v>
      </c>
      <c r="C312" s="1070">
        <v>2230</v>
      </c>
      <c r="D312" s="1070">
        <v>2200</v>
      </c>
      <c r="E312" s="1070">
        <v>2170</v>
      </c>
      <c r="F312" s="1088">
        <v>460</v>
      </c>
      <c r="H312" s="1095"/>
    </row>
    <row r="313" spans="1:8" s="1064" customFormat="1" ht="14.25" customHeight="1" thickBot="1">
      <c r="A313" s="1076" t="s">
        <v>1413</v>
      </c>
      <c r="B313" s="1070" t="s">
        <v>1292</v>
      </c>
      <c r="C313" s="1070">
        <v>2770</v>
      </c>
      <c r="D313" s="1070">
        <v>2740</v>
      </c>
      <c r="E313" s="1070">
        <v>2710</v>
      </c>
      <c r="F313" s="1088">
        <v>610</v>
      </c>
      <c r="H313" s="1095"/>
    </row>
    <row r="314" spans="1:8" s="1064" customFormat="1" ht="14.25" customHeight="1" thickBot="1">
      <c r="A314" s="1076" t="s">
        <v>1413</v>
      </c>
      <c r="B314" s="1070" t="s">
        <v>1299</v>
      </c>
      <c r="C314" s="1070"/>
      <c r="D314" s="1070"/>
      <c r="E314" s="1070"/>
      <c r="F314" s="1088">
        <v>490</v>
      </c>
      <c r="H314" s="1095"/>
    </row>
    <row r="315" spans="1:8" s="1064" customFormat="1" ht="14.25" customHeight="1" thickBot="1">
      <c r="A315" s="1076" t="s">
        <v>1413</v>
      </c>
      <c r="B315" s="1070" t="s">
        <v>1306</v>
      </c>
      <c r="C315" s="1070"/>
      <c r="D315" s="1070"/>
      <c r="E315" s="1070"/>
      <c r="F315" s="1088">
        <v>520</v>
      </c>
      <c r="H315" s="1095"/>
    </row>
    <row r="316" spans="1:8" s="1064" customFormat="1" ht="14.25" customHeight="1" thickBot="1">
      <c r="A316" s="1076" t="s">
        <v>1413</v>
      </c>
      <c r="B316" s="1086" t="s">
        <v>1313</v>
      </c>
      <c r="C316" s="1086"/>
      <c r="D316" s="1086"/>
      <c r="E316" s="1086"/>
      <c r="F316" s="1096">
        <v>460</v>
      </c>
      <c r="H316" s="1095"/>
    </row>
    <row r="317" spans="1:8" s="1064" customFormat="1" ht="14.25" customHeight="1" thickBot="1">
      <c r="A317" s="1076" t="s">
        <v>910</v>
      </c>
      <c r="B317" s="1077" t="s">
        <v>1418</v>
      </c>
      <c r="C317" s="1077">
        <v>1200</v>
      </c>
      <c r="D317" s="1077">
        <v>1180</v>
      </c>
      <c r="E317" s="1077">
        <v>1160</v>
      </c>
      <c r="F317" s="1078">
        <v>370</v>
      </c>
      <c r="H317" s="1061"/>
    </row>
    <row r="318" spans="1:8" s="1064" customFormat="1" ht="14.25" customHeight="1" thickBot="1">
      <c r="A318" s="1076" t="s">
        <v>910</v>
      </c>
      <c r="B318" s="1070" t="s">
        <v>1419</v>
      </c>
      <c r="C318" s="1070">
        <v>1090</v>
      </c>
      <c r="D318" s="1070">
        <v>1060</v>
      </c>
      <c r="E318" s="1070">
        <v>1040</v>
      </c>
      <c r="F318" s="1097"/>
      <c r="H318" s="1061"/>
    </row>
    <row r="319" spans="1:8" s="1064" customFormat="1" ht="14.25" customHeight="1" thickBot="1">
      <c r="A319" s="1076" t="s">
        <v>910</v>
      </c>
      <c r="B319" s="1070" t="s">
        <v>1420</v>
      </c>
      <c r="C319" s="1070">
        <v>1520</v>
      </c>
      <c r="D319" s="1070">
        <v>1470</v>
      </c>
      <c r="E319" s="1070">
        <v>1440</v>
      </c>
      <c r="F319" s="1088">
        <v>370</v>
      </c>
      <c r="H319" s="1061"/>
    </row>
    <row r="320" spans="1:8" s="1064" customFormat="1" ht="14.25" customHeight="1" thickBot="1">
      <c r="A320" s="1076" t="s">
        <v>910</v>
      </c>
      <c r="B320" s="1070" t="s">
        <v>1101</v>
      </c>
      <c r="C320" s="1070">
        <v>1360</v>
      </c>
      <c r="D320" s="1070">
        <v>1300</v>
      </c>
      <c r="E320" s="1070">
        <v>1270</v>
      </c>
      <c r="F320" s="1097"/>
      <c r="H320" s="1061"/>
    </row>
    <row r="321" spans="1:8" s="1064" customFormat="1" ht="14.25" customHeight="1" thickBot="1">
      <c r="A321" s="1076" t="s">
        <v>910</v>
      </c>
      <c r="B321" s="1070" t="s">
        <v>1115</v>
      </c>
      <c r="C321" s="1070">
        <v>1750</v>
      </c>
      <c r="D321" s="1070">
        <v>1690</v>
      </c>
      <c r="E321" s="1070">
        <v>1660</v>
      </c>
      <c r="F321" s="1097"/>
      <c r="H321" s="1061"/>
    </row>
    <row r="322" spans="1:8" s="1064" customFormat="1" ht="14.25" customHeight="1" thickBot="1">
      <c r="A322" s="1076" t="s">
        <v>910</v>
      </c>
      <c r="B322" s="1070" t="s">
        <v>1126</v>
      </c>
      <c r="C322" s="1070">
        <v>1650</v>
      </c>
      <c r="D322" s="1070">
        <v>1610</v>
      </c>
      <c r="E322" s="1070">
        <v>1580</v>
      </c>
      <c r="F322" s="1088">
        <v>500</v>
      </c>
      <c r="H322" s="1061"/>
    </row>
    <row r="323" spans="1:8" s="1064" customFormat="1" ht="14.25" customHeight="1" thickBot="1">
      <c r="A323" s="1076" t="s">
        <v>910</v>
      </c>
      <c r="B323" s="1070" t="s">
        <v>1137</v>
      </c>
      <c r="C323" s="1070">
        <v>1780</v>
      </c>
      <c r="D323" s="1070">
        <v>1740</v>
      </c>
      <c r="E323" s="1070">
        <v>1720</v>
      </c>
      <c r="F323" s="1097"/>
      <c r="H323" s="1061"/>
    </row>
    <row r="324" spans="1:8" s="1064" customFormat="1" ht="14.25" customHeight="1" thickBot="1">
      <c r="A324" s="1076" t="s">
        <v>910</v>
      </c>
      <c r="B324" s="1070" t="s">
        <v>1148</v>
      </c>
      <c r="C324" s="1070">
        <v>1650</v>
      </c>
      <c r="D324" s="1070">
        <v>1610</v>
      </c>
      <c r="E324" s="1070">
        <v>1580</v>
      </c>
      <c r="F324" s="1097"/>
      <c r="H324" s="1061"/>
    </row>
    <row r="325" spans="1:8" s="1064" customFormat="1" ht="14.25" customHeight="1" thickBot="1">
      <c r="A325" s="1076" t="s">
        <v>910</v>
      </c>
      <c r="B325" s="1070" t="s">
        <v>1160</v>
      </c>
      <c r="C325" s="1070">
        <v>1330</v>
      </c>
      <c r="D325" s="1070">
        <v>1270</v>
      </c>
      <c r="E325" s="1070">
        <v>1240</v>
      </c>
      <c r="F325" s="1088">
        <v>430</v>
      </c>
      <c r="H325" s="1061"/>
    </row>
    <row r="326" spans="1:8" s="1064" customFormat="1" ht="14.25" customHeight="1" thickBot="1">
      <c r="A326" s="1076" t="s">
        <v>910</v>
      </c>
      <c r="B326" s="1070" t="s">
        <v>1170</v>
      </c>
      <c r="C326" s="1070">
        <v>1470</v>
      </c>
      <c r="D326" s="1070">
        <v>1430</v>
      </c>
      <c r="E326" s="1070">
        <v>1400</v>
      </c>
      <c r="F326" s="1097"/>
      <c r="H326" s="1061"/>
    </row>
    <row r="327" spans="1:8" s="1064" customFormat="1" ht="14.25" customHeight="1" thickBot="1">
      <c r="A327" s="1076" t="s">
        <v>910</v>
      </c>
      <c r="B327" s="1070" t="s">
        <v>1180</v>
      </c>
      <c r="C327" s="1070">
        <v>1420</v>
      </c>
      <c r="D327" s="1070">
        <v>1380</v>
      </c>
      <c r="E327" s="1070">
        <v>1360</v>
      </c>
      <c r="F327" s="1088">
        <v>420</v>
      </c>
      <c r="H327" s="1061"/>
    </row>
    <row r="328" spans="1:8" s="1064" customFormat="1" ht="14.25" customHeight="1" thickBot="1">
      <c r="A328" s="1076" t="s">
        <v>910</v>
      </c>
      <c r="B328" s="1070" t="s">
        <v>1190</v>
      </c>
      <c r="C328" s="1070">
        <v>1400</v>
      </c>
      <c r="D328" s="1070">
        <v>1360</v>
      </c>
      <c r="E328" s="1070">
        <v>1330</v>
      </c>
      <c r="F328" s="1088">
        <v>460</v>
      </c>
      <c r="H328" s="1061"/>
    </row>
    <row r="329" spans="1:8" s="1064" customFormat="1" ht="14.25" customHeight="1" thickBot="1">
      <c r="A329" s="1076" t="s">
        <v>910</v>
      </c>
      <c r="B329" s="1070" t="s">
        <v>1200</v>
      </c>
      <c r="C329" s="1070">
        <v>1640</v>
      </c>
      <c r="D329" s="1070">
        <v>1610</v>
      </c>
      <c r="E329" s="1070">
        <v>1580</v>
      </c>
      <c r="F329" s="1088">
        <v>410</v>
      </c>
      <c r="H329" s="1061"/>
    </row>
    <row r="330" spans="1:8" s="1064" customFormat="1" ht="14.25" customHeight="1" thickBot="1">
      <c r="A330" s="1076" t="s">
        <v>910</v>
      </c>
      <c r="B330" s="1070" t="s">
        <v>1210</v>
      </c>
      <c r="C330" s="1070">
        <v>1260</v>
      </c>
      <c r="D330" s="1070">
        <v>1220</v>
      </c>
      <c r="E330" s="1070">
        <v>1200</v>
      </c>
      <c r="F330" s="1097"/>
      <c r="H330" s="1061"/>
    </row>
    <row r="331" spans="1:8" s="1064" customFormat="1" ht="14.25" customHeight="1" thickBot="1">
      <c r="A331" s="1076" t="s">
        <v>910</v>
      </c>
      <c r="B331" s="1070" t="s">
        <v>1220</v>
      </c>
      <c r="C331" s="1070">
        <v>1620</v>
      </c>
      <c r="D331" s="1070">
        <v>1560</v>
      </c>
      <c r="E331" s="1070">
        <v>1530</v>
      </c>
      <c r="F331" s="1088">
        <v>490</v>
      </c>
      <c r="H331" s="1061"/>
    </row>
    <row r="332" spans="1:8" s="1064" customFormat="1" ht="14.25" customHeight="1" thickBot="1">
      <c r="A332" s="1076" t="s">
        <v>910</v>
      </c>
      <c r="B332" s="1070" t="s">
        <v>1230</v>
      </c>
      <c r="C332" s="1070">
        <v>1520</v>
      </c>
      <c r="D332" s="1070">
        <v>1470</v>
      </c>
      <c r="E332" s="1070">
        <v>1440</v>
      </c>
      <c r="F332" s="1088">
        <v>440</v>
      </c>
      <c r="H332" s="1061"/>
    </row>
    <row r="333" spans="1:8" s="1064" customFormat="1" ht="14.25" customHeight="1" thickBot="1">
      <c r="A333" s="1076" t="s">
        <v>910</v>
      </c>
      <c r="B333" s="1070" t="s">
        <v>1240</v>
      </c>
      <c r="C333" s="1070">
        <v>1370</v>
      </c>
      <c r="D333" s="1070">
        <v>1320</v>
      </c>
      <c r="E333" s="1070">
        <v>1300</v>
      </c>
      <c r="F333" s="1088">
        <v>460</v>
      </c>
      <c r="H333" s="1061"/>
    </row>
    <row r="334" spans="1:8" s="1064" customFormat="1" ht="14.25" customHeight="1" thickBot="1">
      <c r="A334" s="1076" t="s">
        <v>910</v>
      </c>
      <c r="B334" s="1070" t="s">
        <v>1250</v>
      </c>
      <c r="C334" s="1070">
        <v>1410</v>
      </c>
      <c r="D334" s="1070">
        <v>1340</v>
      </c>
      <c r="E334" s="1070">
        <v>1310</v>
      </c>
      <c r="F334" s="1088">
        <v>410</v>
      </c>
      <c r="H334" s="1061"/>
    </row>
    <row r="335" spans="1:8" s="1064" customFormat="1" ht="14.25" customHeight="1" thickBot="1">
      <c r="A335" s="1076" t="s">
        <v>910</v>
      </c>
      <c r="B335" s="1070" t="s">
        <v>1260</v>
      </c>
      <c r="C335" s="1070">
        <v>1260</v>
      </c>
      <c r="D335" s="1070">
        <v>1220</v>
      </c>
      <c r="E335" s="1070">
        <v>1200</v>
      </c>
      <c r="F335" s="1097"/>
      <c r="H335" s="1061"/>
    </row>
    <row r="336" spans="1:8" s="1064" customFormat="1" ht="14.25" customHeight="1" thickBot="1">
      <c r="A336" s="1076" t="s">
        <v>910</v>
      </c>
      <c r="B336" s="1070" t="s">
        <v>1269</v>
      </c>
      <c r="C336" s="1070">
        <v>1160</v>
      </c>
      <c r="D336" s="1070">
        <v>1140</v>
      </c>
      <c r="E336" s="1070">
        <v>1120</v>
      </c>
      <c r="F336" s="1088">
        <v>430</v>
      </c>
      <c r="H336" s="1061"/>
    </row>
    <row r="337" spans="1:8" s="1064" customFormat="1" ht="14.25" customHeight="1" thickBot="1">
      <c r="A337" s="1076" t="s">
        <v>910</v>
      </c>
      <c r="B337" s="1086" t="s">
        <v>1278</v>
      </c>
      <c r="C337" s="1086"/>
      <c r="D337" s="1086"/>
      <c r="E337" s="1086"/>
      <c r="F337" s="1096">
        <v>380</v>
      </c>
      <c r="H337" s="1061"/>
    </row>
    <row r="338" spans="1:8" s="1064" customFormat="1" ht="14.25" customHeight="1" thickBot="1">
      <c r="A338" s="1076" t="s">
        <v>911</v>
      </c>
      <c r="B338" s="1077" t="s">
        <v>1421</v>
      </c>
      <c r="C338" s="1077">
        <v>880</v>
      </c>
      <c r="D338" s="1077">
        <v>850</v>
      </c>
      <c r="E338" s="1077">
        <v>830</v>
      </c>
      <c r="F338" s="1099"/>
      <c r="H338" s="1061"/>
    </row>
    <row r="339" spans="1:8" s="1064" customFormat="1" ht="14.25" customHeight="1" thickBot="1">
      <c r="A339" s="1076" t="s">
        <v>911</v>
      </c>
      <c r="B339" s="1070" t="s">
        <v>1422</v>
      </c>
      <c r="C339" s="1070">
        <v>830</v>
      </c>
      <c r="D339" s="1070">
        <v>800</v>
      </c>
      <c r="E339" s="1070">
        <v>780</v>
      </c>
      <c r="F339" s="1097"/>
      <c r="H339" s="1061"/>
    </row>
    <row r="340" spans="1:8" s="1064" customFormat="1" ht="14.25" customHeight="1" thickBot="1">
      <c r="A340" s="1076" t="s">
        <v>911</v>
      </c>
      <c r="B340" s="1070" t="s">
        <v>1423</v>
      </c>
      <c r="C340" s="1070">
        <v>980</v>
      </c>
      <c r="D340" s="1070">
        <v>950</v>
      </c>
      <c r="E340" s="1070">
        <v>920</v>
      </c>
      <c r="F340" s="1097"/>
      <c r="H340" s="1061"/>
    </row>
    <row r="341" spans="1:8" s="1064" customFormat="1" ht="14.25" customHeight="1" thickBot="1">
      <c r="A341" s="1076" t="s">
        <v>911</v>
      </c>
      <c r="B341" s="1070" t="s">
        <v>1424</v>
      </c>
      <c r="C341" s="1070">
        <v>760</v>
      </c>
      <c r="D341" s="1070">
        <v>720</v>
      </c>
      <c r="E341" s="1070">
        <v>690</v>
      </c>
      <c r="F341" s="1088">
        <v>350</v>
      </c>
      <c r="H341" s="1061"/>
    </row>
    <row r="342" spans="1:8" s="1064" customFormat="1" ht="14.25" customHeight="1" thickBot="1">
      <c r="A342" s="1076" t="s">
        <v>911</v>
      </c>
      <c r="B342" s="1070" t="s">
        <v>1116</v>
      </c>
      <c r="C342" s="1070">
        <v>910</v>
      </c>
      <c r="D342" s="1070">
        <v>870</v>
      </c>
      <c r="E342" s="1070">
        <v>850</v>
      </c>
      <c r="F342" s="1088">
        <v>370</v>
      </c>
      <c r="H342" s="1061"/>
    </row>
    <row r="343" spans="1:8" s="1064" customFormat="1" ht="14.25" customHeight="1" thickBot="1">
      <c r="A343" s="1076" t="s">
        <v>911</v>
      </c>
      <c r="B343" s="1070" t="s">
        <v>1127</v>
      </c>
      <c r="C343" s="1070">
        <v>800</v>
      </c>
      <c r="D343" s="1070">
        <v>760</v>
      </c>
      <c r="E343" s="1070">
        <v>730</v>
      </c>
      <c r="F343" s="1088">
        <v>340</v>
      </c>
      <c r="H343" s="1061"/>
    </row>
    <row r="344" spans="1:8" s="1064" customFormat="1" ht="14.25" customHeight="1" thickBot="1">
      <c r="A344" s="1076" t="s">
        <v>911</v>
      </c>
      <c r="B344" s="1086" t="s">
        <v>1138</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2"/>
    <col min="2" max="16384" width="9" style="1006"/>
  </cols>
  <sheetData>
    <row r="1" spans="1:14" ht="14.25">
      <c r="A1" s="1004" t="s">
        <v>875</v>
      </c>
      <c r="B1" s="1005"/>
      <c r="C1" s="1005"/>
      <c r="D1" s="1005"/>
      <c r="E1" s="1005"/>
      <c r="F1" s="1005"/>
      <c r="G1" s="1005"/>
      <c r="H1" s="1005"/>
      <c r="I1" s="1005"/>
      <c r="J1" s="1005"/>
      <c r="K1" s="1005"/>
      <c r="L1" s="1005"/>
      <c r="M1" s="1005"/>
      <c r="N1" s="1005"/>
    </row>
    <row r="2" spans="1:14">
      <c r="A2" s="1007" t="s">
        <v>876</v>
      </c>
      <c r="B2" s="1008" t="s">
        <v>877</v>
      </c>
      <c r="C2" s="1008" t="s">
        <v>878</v>
      </c>
      <c r="D2" s="1008" t="s">
        <v>879</v>
      </c>
      <c r="E2" s="1008" t="s">
        <v>880</v>
      </c>
      <c r="F2" s="1008" t="s">
        <v>881</v>
      </c>
      <c r="G2" s="1008" t="s">
        <v>882</v>
      </c>
      <c r="H2" s="1009" t="s">
        <v>883</v>
      </c>
      <c r="I2" s="1009" t="s">
        <v>884</v>
      </c>
      <c r="J2" s="1010" t="s">
        <v>885</v>
      </c>
      <c r="K2" s="1010" t="s">
        <v>886</v>
      </c>
      <c r="L2" s="1010" t="s">
        <v>887</v>
      </c>
      <c r="M2" s="1010" t="s">
        <v>888</v>
      </c>
    </row>
    <row r="3" spans="1:14">
      <c r="A3" s="1007">
        <v>0.1</v>
      </c>
      <c r="B3" s="1016">
        <v>15.052</v>
      </c>
      <c r="C3" s="1016">
        <v>15.052</v>
      </c>
      <c r="D3" s="1016">
        <v>14.263</v>
      </c>
      <c r="E3" s="1016">
        <v>14.263</v>
      </c>
      <c r="F3" s="1016">
        <v>14.263</v>
      </c>
      <c r="G3" s="1016">
        <v>14.263</v>
      </c>
      <c r="H3" s="1016">
        <v>14.263</v>
      </c>
      <c r="I3" s="1016">
        <v>14.097</v>
      </c>
      <c r="J3" s="1016">
        <v>14.097</v>
      </c>
      <c r="K3" s="1016">
        <v>14.097</v>
      </c>
      <c r="L3" s="1016">
        <v>14.097</v>
      </c>
      <c r="M3" s="1016">
        <v>14.097</v>
      </c>
      <c r="N3" s="1017"/>
    </row>
    <row r="4" spans="1:14">
      <c r="A4" s="1007">
        <v>0.2</v>
      </c>
      <c r="B4" s="1016">
        <v>7.5259999999999998</v>
      </c>
      <c r="C4" s="1016">
        <v>7.5259999999999998</v>
      </c>
      <c r="D4" s="1016">
        <v>7.1315</v>
      </c>
      <c r="E4" s="1016">
        <v>7.1315</v>
      </c>
      <c r="F4" s="1016">
        <v>7.1315</v>
      </c>
      <c r="G4" s="1016">
        <v>7.1315</v>
      </c>
      <c r="H4" s="1016">
        <v>7.1315</v>
      </c>
      <c r="I4" s="1016">
        <v>7.0484999999999998</v>
      </c>
      <c r="J4" s="1016">
        <v>7.0484999999999998</v>
      </c>
      <c r="K4" s="1016">
        <v>7.0484999999999998</v>
      </c>
      <c r="L4" s="1016">
        <v>7.0484999999999998</v>
      </c>
      <c r="M4" s="1016">
        <v>7.0484999999999998</v>
      </c>
    </row>
    <row r="5" spans="1:14">
      <c r="A5" s="1007">
        <v>0.3</v>
      </c>
      <c r="B5" s="1016">
        <v>5.0172999999999996</v>
      </c>
      <c r="C5" s="1016">
        <v>5.0172999999999996</v>
      </c>
      <c r="D5" s="1016">
        <v>4.7542999999999997</v>
      </c>
      <c r="E5" s="1016">
        <v>4.7542999999999997</v>
      </c>
      <c r="F5" s="1016">
        <v>4.7542999999999997</v>
      </c>
      <c r="G5" s="1016">
        <v>4.7542999999999997</v>
      </c>
      <c r="H5" s="1016">
        <v>4.7542999999999997</v>
      </c>
      <c r="I5" s="1016">
        <v>4.6989999999999998</v>
      </c>
      <c r="J5" s="1016">
        <v>4.6989999999999998</v>
      </c>
      <c r="K5" s="1016">
        <v>4.6989999999999998</v>
      </c>
      <c r="L5" s="1016">
        <v>4.6989999999999998</v>
      </c>
      <c r="M5" s="1016">
        <v>4.6989999999999998</v>
      </c>
    </row>
    <row r="6" spans="1:14">
      <c r="A6" s="1007">
        <v>0.4</v>
      </c>
      <c r="B6" s="1016">
        <v>3.7629999999999999</v>
      </c>
      <c r="C6" s="1016">
        <v>3.7629999999999999</v>
      </c>
      <c r="D6" s="1016">
        <v>3.5657999999999999</v>
      </c>
      <c r="E6" s="1016">
        <v>3.5657999999999999</v>
      </c>
      <c r="F6" s="1016">
        <v>3.5657999999999999</v>
      </c>
      <c r="G6" s="1016">
        <v>3.5657999999999999</v>
      </c>
      <c r="H6" s="1016">
        <v>3.5657999999999999</v>
      </c>
      <c r="I6" s="1016">
        <v>3.5243000000000002</v>
      </c>
      <c r="J6" s="1016">
        <v>3.5243000000000002</v>
      </c>
      <c r="K6" s="1016">
        <v>3.5243000000000002</v>
      </c>
      <c r="L6" s="1016">
        <v>3.5243000000000002</v>
      </c>
      <c r="M6" s="1016">
        <v>3.5243000000000002</v>
      </c>
    </row>
    <row r="7" spans="1:14">
      <c r="A7" s="1007">
        <v>0.5</v>
      </c>
      <c r="B7" s="1016">
        <v>3.0104000000000002</v>
      </c>
      <c r="C7" s="1016">
        <v>3.0104000000000002</v>
      </c>
      <c r="D7" s="1016">
        <v>2.8525999999999998</v>
      </c>
      <c r="E7" s="1016">
        <v>2.8525999999999998</v>
      </c>
      <c r="F7" s="1016">
        <v>2.8525999999999998</v>
      </c>
      <c r="G7" s="1016">
        <v>2.8525999999999998</v>
      </c>
      <c r="H7" s="1016">
        <v>2.8525999999999998</v>
      </c>
      <c r="I7" s="1016">
        <v>2.8193999999999999</v>
      </c>
      <c r="J7" s="1016">
        <v>2.8193999999999999</v>
      </c>
      <c r="K7" s="1016">
        <v>2.8193999999999999</v>
      </c>
      <c r="L7" s="1016">
        <v>2.8193999999999999</v>
      </c>
      <c r="M7" s="1016">
        <v>2.8193999999999999</v>
      </c>
    </row>
    <row r="8" spans="1:14">
      <c r="A8" s="1007">
        <v>0.6</v>
      </c>
      <c r="B8" s="1016">
        <v>2.5087000000000002</v>
      </c>
      <c r="C8" s="1016">
        <v>2.5087000000000002</v>
      </c>
      <c r="D8" s="1016">
        <v>2.3772000000000002</v>
      </c>
      <c r="E8" s="1016">
        <v>2.3772000000000002</v>
      </c>
      <c r="F8" s="1016">
        <v>2.3772000000000002</v>
      </c>
      <c r="G8" s="1016">
        <v>2.3772000000000002</v>
      </c>
      <c r="H8" s="1016">
        <v>2.3772000000000002</v>
      </c>
      <c r="I8" s="1016">
        <v>2.3494999999999999</v>
      </c>
      <c r="J8" s="1016">
        <v>2.3494999999999999</v>
      </c>
      <c r="K8" s="1016">
        <v>2.3494999999999999</v>
      </c>
      <c r="L8" s="1016">
        <v>2.3494999999999999</v>
      </c>
      <c r="M8" s="1016">
        <v>2.3494999999999999</v>
      </c>
    </row>
    <row r="9" spans="1:14">
      <c r="A9" s="1007">
        <v>0.7</v>
      </c>
      <c r="B9" s="1016">
        <v>2.1503000000000001</v>
      </c>
      <c r="C9" s="1016">
        <v>2.1503000000000001</v>
      </c>
      <c r="D9" s="1016">
        <v>2.0375999999999999</v>
      </c>
      <c r="E9" s="1016">
        <v>2.0375999999999999</v>
      </c>
      <c r="F9" s="1016">
        <v>2.0375999999999999</v>
      </c>
      <c r="G9" s="1016">
        <v>2.0375999999999999</v>
      </c>
      <c r="H9" s="1016">
        <v>2.0375999999999999</v>
      </c>
      <c r="I9" s="1016">
        <v>2.0139</v>
      </c>
      <c r="J9" s="1016">
        <v>2.0139</v>
      </c>
      <c r="K9" s="1016">
        <v>2.0139</v>
      </c>
      <c r="L9" s="1016">
        <v>2.0139</v>
      </c>
      <c r="M9" s="1016">
        <v>2.0139</v>
      </c>
    </row>
    <row r="10" spans="1:14">
      <c r="A10" s="1007">
        <v>0.8</v>
      </c>
      <c r="B10" s="1016">
        <v>1.8815</v>
      </c>
      <c r="C10" s="1016">
        <v>1.8815</v>
      </c>
      <c r="D10" s="1016">
        <v>1.7828999999999999</v>
      </c>
      <c r="E10" s="1016">
        <v>1.7828999999999999</v>
      </c>
      <c r="F10" s="1016">
        <v>1.7828999999999999</v>
      </c>
      <c r="G10" s="1016">
        <v>1.7828999999999999</v>
      </c>
      <c r="H10" s="1016">
        <v>1.7828999999999999</v>
      </c>
      <c r="I10" s="1016">
        <v>1.7621</v>
      </c>
      <c r="J10" s="1016">
        <v>1.7621</v>
      </c>
      <c r="K10" s="1016">
        <v>1.7621</v>
      </c>
      <c r="L10" s="1016">
        <v>1.7621</v>
      </c>
      <c r="M10" s="1016">
        <v>1.7621</v>
      </c>
    </row>
    <row r="11" spans="1:14">
      <c r="A11" s="1007">
        <v>0.9</v>
      </c>
      <c r="B11" s="1016">
        <v>1.6724000000000001</v>
      </c>
      <c r="C11" s="1016">
        <v>1.6724000000000001</v>
      </c>
      <c r="D11" s="1016">
        <v>1.5848</v>
      </c>
      <c r="E11" s="1016">
        <v>1.5848</v>
      </c>
      <c r="F11" s="1016">
        <v>1.5848</v>
      </c>
      <c r="G11" s="1016">
        <v>1.5848</v>
      </c>
      <c r="H11" s="1016">
        <v>1.5848</v>
      </c>
      <c r="I11" s="1016">
        <v>1.5663</v>
      </c>
      <c r="J11" s="1016">
        <v>1.5663</v>
      </c>
      <c r="K11" s="1016">
        <v>1.5663</v>
      </c>
      <c r="L11" s="1016">
        <v>1.5663</v>
      </c>
      <c r="M11" s="1016">
        <v>1.5663</v>
      </c>
    </row>
    <row r="12" spans="1:14">
      <c r="A12" s="1007">
        <v>1</v>
      </c>
      <c r="B12" s="1016">
        <v>1.5052000000000001</v>
      </c>
      <c r="C12" s="1016">
        <v>1.5052000000000001</v>
      </c>
      <c r="D12" s="1016">
        <v>1.4262999999999999</v>
      </c>
      <c r="E12" s="1016">
        <v>1.4262999999999999</v>
      </c>
      <c r="F12" s="1016">
        <v>1.4262999999999999</v>
      </c>
      <c r="G12" s="1016">
        <v>1.4262999999999999</v>
      </c>
      <c r="H12" s="1016">
        <v>1.4262999999999999</v>
      </c>
      <c r="I12" s="1016">
        <v>1.4097</v>
      </c>
      <c r="J12" s="1016">
        <v>1.4097</v>
      </c>
      <c r="K12" s="1016">
        <v>1.4097</v>
      </c>
      <c r="L12" s="1016">
        <v>1.4097</v>
      </c>
      <c r="M12" s="1016">
        <v>1.4097</v>
      </c>
    </row>
    <row r="13" spans="1:14">
      <c r="A13" s="1007">
        <v>1.1000000000000001</v>
      </c>
      <c r="B13" s="1016">
        <v>1.4509000000000001</v>
      </c>
      <c r="C13" s="1016">
        <v>1.4509000000000001</v>
      </c>
      <c r="D13" s="1016">
        <v>1.3697999999999999</v>
      </c>
      <c r="E13" s="1016">
        <v>1.3697999999999999</v>
      </c>
      <c r="F13" s="1016">
        <v>1.3697999999999999</v>
      </c>
      <c r="G13" s="1016">
        <v>1.3697999999999999</v>
      </c>
      <c r="H13" s="1016">
        <v>1.3697999999999999</v>
      </c>
      <c r="I13" s="1016">
        <v>1.343</v>
      </c>
      <c r="J13" s="1016">
        <v>1.343</v>
      </c>
      <c r="K13" s="1016">
        <v>1.343</v>
      </c>
      <c r="L13" s="1016">
        <v>1.343</v>
      </c>
      <c r="M13" s="1016">
        <v>1.343</v>
      </c>
    </row>
    <row r="14" spans="1:14">
      <c r="A14" s="1007">
        <v>1.2</v>
      </c>
      <c r="B14" s="1016">
        <v>1.4035</v>
      </c>
      <c r="C14" s="1016">
        <v>1.4035</v>
      </c>
      <c r="D14" s="1016">
        <v>1.3205</v>
      </c>
      <c r="E14" s="1016">
        <v>1.3205</v>
      </c>
      <c r="F14" s="1016">
        <v>1.3205</v>
      </c>
      <c r="G14" s="1016">
        <v>1.3205</v>
      </c>
      <c r="H14" s="1016">
        <v>1.3205</v>
      </c>
      <c r="I14" s="1016">
        <v>1.2845</v>
      </c>
      <c r="J14" s="1016">
        <v>1.2845</v>
      </c>
      <c r="K14" s="1016">
        <v>1.2845</v>
      </c>
      <c r="L14" s="1016">
        <v>1.2845</v>
      </c>
      <c r="M14" s="1016">
        <v>1.2845</v>
      </c>
    </row>
    <row r="15" spans="1:14">
      <c r="A15" s="1007">
        <v>1.3</v>
      </c>
      <c r="B15" s="1016">
        <v>1.3622000000000001</v>
      </c>
      <c r="C15" s="1016">
        <v>1.3622000000000001</v>
      </c>
      <c r="D15" s="1016">
        <v>1.2775000000000001</v>
      </c>
      <c r="E15" s="1016">
        <v>1.2775000000000001</v>
      </c>
      <c r="F15" s="1016">
        <v>1.2775000000000001</v>
      </c>
      <c r="G15" s="1016">
        <v>1.2775000000000001</v>
      </c>
      <c r="H15" s="1016">
        <v>1.2775000000000001</v>
      </c>
      <c r="I15" s="1016">
        <v>1.2332000000000001</v>
      </c>
      <c r="J15" s="1016">
        <v>1.2332000000000001</v>
      </c>
      <c r="K15" s="1016">
        <v>1.2332000000000001</v>
      </c>
      <c r="L15" s="1016">
        <v>1.2332000000000001</v>
      </c>
      <c r="M15" s="1016">
        <v>1.2332000000000001</v>
      </c>
    </row>
    <row r="16" spans="1:14">
      <c r="A16" s="1007">
        <v>1.4</v>
      </c>
      <c r="B16" s="1016">
        <v>1.3262</v>
      </c>
      <c r="C16" s="1016">
        <v>1.3262</v>
      </c>
      <c r="D16" s="1016">
        <v>1.2402</v>
      </c>
      <c r="E16" s="1016">
        <v>1.2402</v>
      </c>
      <c r="F16" s="1016">
        <v>1.2402</v>
      </c>
      <c r="G16" s="1016">
        <v>1.2402</v>
      </c>
      <c r="H16" s="1016">
        <v>1.2402</v>
      </c>
      <c r="I16" s="1016">
        <v>1.1881999999999999</v>
      </c>
      <c r="J16" s="1016">
        <v>1.1881999999999999</v>
      </c>
      <c r="K16" s="1016">
        <v>1.1881999999999999</v>
      </c>
      <c r="L16" s="1016">
        <v>1.1881999999999999</v>
      </c>
      <c r="M16" s="1016">
        <v>1.1881999999999999</v>
      </c>
      <c r="N16" s="1017"/>
    </row>
    <row r="17" spans="1:14">
      <c r="A17" s="1007">
        <v>1.5</v>
      </c>
      <c r="B17" s="1016">
        <v>1.2948</v>
      </c>
      <c r="C17" s="1016">
        <v>1.2948</v>
      </c>
      <c r="D17" s="1016">
        <v>1.2075</v>
      </c>
      <c r="E17" s="1016">
        <v>1.2075</v>
      </c>
      <c r="F17" s="1016">
        <v>1.2075</v>
      </c>
      <c r="G17" s="1016">
        <v>1.2075</v>
      </c>
      <c r="H17" s="1016">
        <v>1.2075</v>
      </c>
      <c r="I17" s="1016">
        <v>1.1486000000000001</v>
      </c>
      <c r="J17" s="1016">
        <v>1.1486000000000001</v>
      </c>
      <c r="K17" s="1016">
        <v>1.1486000000000001</v>
      </c>
      <c r="L17" s="1016">
        <v>1.1486000000000001</v>
      </c>
      <c r="M17" s="1016">
        <v>1.1486000000000001</v>
      </c>
      <c r="N17" s="1017"/>
    </row>
    <row r="18" spans="1:14">
      <c r="A18" s="1007">
        <v>1.6</v>
      </c>
      <c r="B18" s="1016">
        <v>1.2673000000000001</v>
      </c>
      <c r="C18" s="1016">
        <v>1.2673000000000001</v>
      </c>
      <c r="D18" s="1016">
        <v>1.1789000000000001</v>
      </c>
      <c r="E18" s="1016">
        <v>1.1789000000000001</v>
      </c>
      <c r="F18" s="1016">
        <v>1.1789000000000001</v>
      </c>
      <c r="G18" s="1016">
        <v>1.1789000000000001</v>
      </c>
      <c r="H18" s="1016">
        <v>1.1789000000000001</v>
      </c>
      <c r="I18" s="1016">
        <v>1.1134999999999999</v>
      </c>
      <c r="J18" s="1016">
        <v>1.1134999999999999</v>
      </c>
      <c r="K18" s="1016">
        <v>1.1134999999999999</v>
      </c>
      <c r="L18" s="1016">
        <v>1.1134999999999999</v>
      </c>
      <c r="M18" s="1016">
        <v>1.1134999999999999</v>
      </c>
    </row>
    <row r="19" spans="1:14">
      <c r="A19" s="1007">
        <v>1.7</v>
      </c>
      <c r="B19" s="1016">
        <v>1.2428999999999999</v>
      </c>
      <c r="C19" s="1016">
        <v>1.2428999999999999</v>
      </c>
      <c r="D19" s="1016">
        <v>1.1534</v>
      </c>
      <c r="E19" s="1016">
        <v>1.1534</v>
      </c>
      <c r="F19" s="1016">
        <v>1.1534</v>
      </c>
      <c r="G19" s="1016">
        <v>1.1534</v>
      </c>
      <c r="H19" s="1016">
        <v>1.1534</v>
      </c>
      <c r="I19" s="1016">
        <v>1.0820000000000001</v>
      </c>
      <c r="J19" s="1016">
        <v>1.0820000000000001</v>
      </c>
      <c r="K19" s="1016">
        <v>1.0820000000000001</v>
      </c>
      <c r="L19" s="1016">
        <v>1.0820000000000001</v>
      </c>
      <c r="M19" s="1016">
        <v>1.0820000000000001</v>
      </c>
    </row>
    <row r="20" spans="1:14">
      <c r="A20" s="1007">
        <v>1.8</v>
      </c>
      <c r="B20" s="1016">
        <v>1.2206999999999999</v>
      </c>
      <c r="C20" s="1016">
        <v>1.2206999999999999</v>
      </c>
      <c r="D20" s="1016">
        <v>1.1304000000000001</v>
      </c>
      <c r="E20" s="1016">
        <v>1.1304000000000001</v>
      </c>
      <c r="F20" s="1016">
        <v>1.1304000000000001</v>
      </c>
      <c r="G20" s="1016">
        <v>1.1304000000000001</v>
      </c>
      <c r="H20" s="1016">
        <v>1.1304000000000001</v>
      </c>
      <c r="I20" s="1016">
        <v>1.0531999999999999</v>
      </c>
      <c r="J20" s="1016">
        <v>1.0531999999999999</v>
      </c>
      <c r="K20" s="1016">
        <v>1.0531999999999999</v>
      </c>
      <c r="L20" s="1016">
        <v>1.0531999999999999</v>
      </c>
      <c r="M20" s="1016">
        <v>1.0531999999999999</v>
      </c>
    </row>
    <row r="21" spans="1:14">
      <c r="A21" s="1007">
        <v>1.9</v>
      </c>
      <c r="B21" s="1016">
        <v>1.2</v>
      </c>
      <c r="C21" s="1016">
        <v>1.2</v>
      </c>
      <c r="D21" s="1016">
        <v>1.1089</v>
      </c>
      <c r="E21" s="1016">
        <v>1.1089</v>
      </c>
      <c r="F21" s="1016">
        <v>1.1089</v>
      </c>
      <c r="G21" s="1016">
        <v>1.1089</v>
      </c>
      <c r="H21" s="1016">
        <v>1.1089</v>
      </c>
      <c r="I21" s="1016">
        <v>1.0261</v>
      </c>
      <c r="J21" s="1016">
        <v>1.0261</v>
      </c>
      <c r="K21" s="1016">
        <v>1.0261</v>
      </c>
      <c r="L21" s="1016">
        <v>1.0261</v>
      </c>
      <c r="M21" s="1016">
        <v>1.0261</v>
      </c>
    </row>
    <row r="22" spans="1:14">
      <c r="A22" s="1007">
        <v>2</v>
      </c>
      <c r="B22" s="1016">
        <v>1.1800999999999999</v>
      </c>
      <c r="C22" s="1016">
        <v>1.1800999999999999</v>
      </c>
      <c r="D22" s="1016">
        <v>1.0883</v>
      </c>
      <c r="E22" s="1016">
        <v>1.0883</v>
      </c>
      <c r="F22" s="1016">
        <v>1.0883</v>
      </c>
      <c r="G22" s="1016">
        <v>1.0883</v>
      </c>
      <c r="H22" s="1016">
        <v>1.0883</v>
      </c>
      <c r="I22" s="1016">
        <v>1</v>
      </c>
      <c r="J22" s="1016">
        <v>1</v>
      </c>
      <c r="K22" s="1016">
        <v>1</v>
      </c>
      <c r="L22" s="1016">
        <v>1</v>
      </c>
      <c r="M22" s="1016">
        <v>1</v>
      </c>
    </row>
    <row r="23" spans="1:14">
      <c r="A23" s="1031">
        <v>2.1</v>
      </c>
      <c r="B23" s="1016">
        <v>1.1616</v>
      </c>
      <c r="C23" s="1016">
        <v>1.1616</v>
      </c>
      <c r="D23" s="1016">
        <v>1.0685</v>
      </c>
      <c r="E23" s="1016">
        <v>1.0685</v>
      </c>
      <c r="F23" s="1016">
        <v>1.0685</v>
      </c>
      <c r="G23" s="1016">
        <v>1.0685</v>
      </c>
      <c r="H23" s="1016">
        <v>1.0685</v>
      </c>
      <c r="I23" s="1016">
        <v>0.97550000000000003</v>
      </c>
      <c r="J23" s="1016">
        <v>0.97550000000000003</v>
      </c>
      <c r="K23" s="1016">
        <v>0.97550000000000003</v>
      </c>
      <c r="L23" s="1016">
        <v>0.97550000000000003</v>
      </c>
      <c r="M23" s="1016">
        <v>0.97550000000000003</v>
      </c>
    </row>
    <row r="24" spans="1:14">
      <c r="A24" s="1031">
        <v>2.2000000000000002</v>
      </c>
      <c r="B24" s="1016">
        <v>1.1440999999999999</v>
      </c>
      <c r="C24" s="1016">
        <v>1.1440999999999999</v>
      </c>
      <c r="D24" s="1016">
        <v>1.0497000000000001</v>
      </c>
      <c r="E24" s="1016">
        <v>1.0497000000000001</v>
      </c>
      <c r="F24" s="1016">
        <v>1.0497000000000001</v>
      </c>
      <c r="G24" s="1016">
        <v>1.0497000000000001</v>
      </c>
      <c r="H24" s="1016">
        <v>1.0497000000000001</v>
      </c>
      <c r="I24" s="1016">
        <v>0.95230000000000004</v>
      </c>
      <c r="J24" s="1016">
        <v>0.95230000000000004</v>
      </c>
      <c r="K24" s="1016">
        <v>0.95230000000000004</v>
      </c>
      <c r="L24" s="1016">
        <v>0.95230000000000004</v>
      </c>
      <c r="M24" s="1016">
        <v>0.95230000000000004</v>
      </c>
    </row>
    <row r="25" spans="1:14">
      <c r="A25" s="1031">
        <v>2.2999999999999998</v>
      </c>
      <c r="B25" s="1016">
        <v>1.1275999999999999</v>
      </c>
      <c r="C25" s="1016">
        <v>1.1275999999999999</v>
      </c>
      <c r="D25" s="1016">
        <v>1.032</v>
      </c>
      <c r="E25" s="1016">
        <v>1.032</v>
      </c>
      <c r="F25" s="1016">
        <v>1.032</v>
      </c>
      <c r="G25" s="1016">
        <v>1.032</v>
      </c>
      <c r="H25" s="1016">
        <v>1.032</v>
      </c>
      <c r="I25" s="1016">
        <v>0.9304</v>
      </c>
      <c r="J25" s="1016">
        <v>0.9304</v>
      </c>
      <c r="K25" s="1016">
        <v>0.9304</v>
      </c>
      <c r="L25" s="1016">
        <v>0.9304</v>
      </c>
      <c r="M25" s="1016">
        <v>0.9304</v>
      </c>
    </row>
    <row r="26" spans="1:14">
      <c r="A26" s="1031">
        <v>2.4</v>
      </c>
      <c r="B26" s="1016">
        <v>1.1121000000000001</v>
      </c>
      <c r="C26" s="1016">
        <v>1.1121000000000001</v>
      </c>
      <c r="D26" s="1016">
        <v>1.0155000000000001</v>
      </c>
      <c r="E26" s="1016">
        <v>1.0155000000000001</v>
      </c>
      <c r="F26" s="1016">
        <v>1.0155000000000001</v>
      </c>
      <c r="G26" s="1016">
        <v>1.0155000000000001</v>
      </c>
      <c r="H26" s="1016">
        <v>1.0155000000000001</v>
      </c>
      <c r="I26" s="1016">
        <v>0.91</v>
      </c>
      <c r="J26" s="1016">
        <v>0.91</v>
      </c>
      <c r="K26" s="1016">
        <v>0.91</v>
      </c>
      <c r="L26" s="1016">
        <v>0.91</v>
      </c>
      <c r="M26" s="1016">
        <v>0.91</v>
      </c>
    </row>
    <row r="27" spans="1:14">
      <c r="A27" s="1031">
        <v>2.5</v>
      </c>
      <c r="B27" s="1016">
        <v>1.0975999999999999</v>
      </c>
      <c r="C27" s="1016">
        <v>1.0975999999999999</v>
      </c>
      <c r="D27" s="1016">
        <v>1</v>
      </c>
      <c r="E27" s="1016">
        <v>1</v>
      </c>
      <c r="F27" s="1016">
        <v>1</v>
      </c>
      <c r="G27" s="1016">
        <v>1</v>
      </c>
      <c r="H27" s="1016">
        <v>1</v>
      </c>
      <c r="I27" s="1016">
        <v>0.89080000000000004</v>
      </c>
      <c r="J27" s="1016">
        <v>0.89080000000000004</v>
      </c>
      <c r="K27" s="1016">
        <v>0.89080000000000004</v>
      </c>
      <c r="L27" s="1016">
        <v>0.89080000000000004</v>
      </c>
      <c r="M27" s="1016">
        <v>0.89080000000000004</v>
      </c>
    </row>
    <row r="28" spans="1:14">
      <c r="A28" s="1031">
        <v>2.6</v>
      </c>
      <c r="B28" s="1016">
        <v>1.0841000000000001</v>
      </c>
      <c r="C28" s="1016">
        <v>1.0841000000000001</v>
      </c>
      <c r="D28" s="1016">
        <v>0.98619999999999997</v>
      </c>
      <c r="E28" s="1016">
        <v>0.98619999999999997</v>
      </c>
      <c r="F28" s="1016">
        <v>0.98619999999999997</v>
      </c>
      <c r="G28" s="1016">
        <v>0.98619999999999997</v>
      </c>
      <c r="H28" s="1016">
        <v>0.98619999999999997</v>
      </c>
      <c r="I28" s="1016">
        <v>0.873</v>
      </c>
      <c r="J28" s="1016">
        <v>0.873</v>
      </c>
      <c r="K28" s="1016">
        <v>0.873</v>
      </c>
      <c r="L28" s="1016">
        <v>0.873</v>
      </c>
      <c r="M28" s="1016">
        <v>0.873</v>
      </c>
    </row>
    <row r="29" spans="1:14">
      <c r="A29" s="1031">
        <v>2.7</v>
      </c>
      <c r="B29" s="1016">
        <v>1.0716000000000001</v>
      </c>
      <c r="C29" s="1016">
        <v>1.0716000000000001</v>
      </c>
      <c r="D29" s="1016">
        <v>0.97330000000000005</v>
      </c>
      <c r="E29" s="1016">
        <v>0.97330000000000005</v>
      </c>
      <c r="F29" s="1016">
        <v>0.97330000000000005</v>
      </c>
      <c r="G29" s="1016">
        <v>0.97330000000000005</v>
      </c>
      <c r="H29" s="1016">
        <v>0.97330000000000005</v>
      </c>
      <c r="I29" s="1016">
        <v>0.85670000000000002</v>
      </c>
      <c r="J29" s="1016">
        <v>0.85670000000000002</v>
      </c>
      <c r="K29" s="1016">
        <v>0.85670000000000002</v>
      </c>
      <c r="L29" s="1016">
        <v>0.85670000000000002</v>
      </c>
      <c r="M29" s="1016">
        <v>0.85670000000000002</v>
      </c>
    </row>
    <row r="30" spans="1:14">
      <c r="A30" s="1031">
        <v>2.8</v>
      </c>
      <c r="B30" s="1016">
        <v>1.0602</v>
      </c>
      <c r="C30" s="1016">
        <v>1.0602</v>
      </c>
      <c r="D30" s="1016">
        <v>0.96160000000000001</v>
      </c>
      <c r="E30" s="1016">
        <v>0.96160000000000001</v>
      </c>
      <c r="F30" s="1016">
        <v>0.96160000000000001</v>
      </c>
      <c r="G30" s="1016">
        <v>0.96160000000000001</v>
      </c>
      <c r="H30" s="1016">
        <v>0.96160000000000001</v>
      </c>
      <c r="I30" s="1016">
        <v>0.8417</v>
      </c>
      <c r="J30" s="1016">
        <v>0.8417</v>
      </c>
      <c r="K30" s="1016">
        <v>0.8417</v>
      </c>
      <c r="L30" s="1016">
        <v>0.8417</v>
      </c>
      <c r="M30" s="1016">
        <v>0.8417</v>
      </c>
    </row>
    <row r="31" spans="1:14">
      <c r="A31" s="1031">
        <v>2.9</v>
      </c>
      <c r="B31" s="1016">
        <v>1.0497000000000001</v>
      </c>
      <c r="C31" s="1016">
        <v>1.0497000000000001</v>
      </c>
      <c r="D31" s="1016">
        <v>0.95089999999999997</v>
      </c>
      <c r="E31" s="1016">
        <v>0.95089999999999997</v>
      </c>
      <c r="F31" s="1016">
        <v>0.95089999999999997</v>
      </c>
      <c r="G31" s="1016">
        <v>0.95089999999999997</v>
      </c>
      <c r="H31" s="1016">
        <v>0.95089999999999997</v>
      </c>
      <c r="I31" s="1016">
        <v>0.82809999999999995</v>
      </c>
      <c r="J31" s="1016">
        <v>0.82809999999999995</v>
      </c>
      <c r="K31" s="1016">
        <v>0.82809999999999995</v>
      </c>
      <c r="L31" s="1016">
        <v>0.82809999999999995</v>
      </c>
      <c r="M31" s="1016">
        <v>0.82809999999999995</v>
      </c>
    </row>
    <row r="32" spans="1:14">
      <c r="A32" s="1031">
        <v>3</v>
      </c>
      <c r="B32" s="1016">
        <v>1.0401</v>
      </c>
      <c r="C32" s="1016">
        <v>1.0401</v>
      </c>
      <c r="D32" s="1016">
        <v>0.94089999999999996</v>
      </c>
      <c r="E32" s="1016">
        <v>0.94089999999999996</v>
      </c>
      <c r="F32" s="1016">
        <v>0.94089999999999996</v>
      </c>
      <c r="G32" s="1016">
        <v>0.94089999999999996</v>
      </c>
      <c r="H32" s="1016">
        <v>0.94089999999999996</v>
      </c>
      <c r="I32" s="1016">
        <v>0.81579999999999997</v>
      </c>
      <c r="J32" s="1016">
        <v>0.81579999999999997</v>
      </c>
      <c r="K32" s="1016">
        <v>0.81579999999999997</v>
      </c>
      <c r="L32" s="1016">
        <v>0.81579999999999997</v>
      </c>
      <c r="M32" s="1016">
        <v>0.81579999999999997</v>
      </c>
    </row>
    <row r="33" spans="1:13">
      <c r="A33" s="1031">
        <v>3.1</v>
      </c>
      <c r="B33" s="1016">
        <v>1.0314000000000001</v>
      </c>
      <c r="C33" s="1016">
        <v>1.0314000000000001</v>
      </c>
      <c r="D33" s="1016">
        <v>0.93169999999999997</v>
      </c>
      <c r="E33" s="1016">
        <v>0.93169999999999997</v>
      </c>
      <c r="F33" s="1016">
        <v>0.93169999999999997</v>
      </c>
      <c r="G33" s="1016">
        <v>0.93169999999999997</v>
      </c>
      <c r="H33" s="1016">
        <v>0.93169999999999997</v>
      </c>
      <c r="I33" s="1016">
        <v>0.80410000000000004</v>
      </c>
      <c r="J33" s="1016">
        <v>0.80410000000000004</v>
      </c>
      <c r="K33" s="1016">
        <v>0.80410000000000004</v>
      </c>
      <c r="L33" s="1016">
        <v>0.80410000000000004</v>
      </c>
      <c r="M33" s="1016">
        <v>0.80410000000000004</v>
      </c>
    </row>
    <row r="34" spans="1:13">
      <c r="A34" s="1031">
        <v>3.2</v>
      </c>
      <c r="B34" s="1016">
        <v>1.0229999999999999</v>
      </c>
      <c r="C34" s="1016">
        <v>1.0229999999999999</v>
      </c>
      <c r="D34" s="1016">
        <v>0.92279999999999995</v>
      </c>
      <c r="E34" s="1016">
        <v>0.92279999999999995</v>
      </c>
      <c r="F34" s="1016">
        <v>0.92279999999999995</v>
      </c>
      <c r="G34" s="1016">
        <v>0.92279999999999995</v>
      </c>
      <c r="H34" s="1016">
        <v>0.92279999999999995</v>
      </c>
      <c r="I34" s="1016">
        <v>0.79300000000000004</v>
      </c>
      <c r="J34" s="1016">
        <v>0.79300000000000004</v>
      </c>
      <c r="K34" s="1016">
        <v>0.79300000000000004</v>
      </c>
      <c r="L34" s="1016">
        <v>0.79300000000000004</v>
      </c>
      <c r="M34" s="1016">
        <v>0.79300000000000004</v>
      </c>
    </row>
    <row r="35" spans="1:13">
      <c r="A35" s="1031">
        <v>3.3</v>
      </c>
      <c r="B35" s="1016">
        <v>1.0149999999999999</v>
      </c>
      <c r="C35" s="1016">
        <v>1.0149999999999999</v>
      </c>
      <c r="D35" s="1016">
        <v>0.91439999999999999</v>
      </c>
      <c r="E35" s="1016">
        <v>0.91439999999999999</v>
      </c>
      <c r="F35" s="1016">
        <v>0.91439999999999999</v>
      </c>
      <c r="G35" s="1016">
        <v>0.91439999999999999</v>
      </c>
      <c r="H35" s="1016">
        <v>0.91439999999999999</v>
      </c>
      <c r="I35" s="1016">
        <v>0.78220000000000001</v>
      </c>
      <c r="J35" s="1016">
        <v>0.78220000000000001</v>
      </c>
      <c r="K35" s="1016">
        <v>0.78220000000000001</v>
      </c>
      <c r="L35" s="1016">
        <v>0.78220000000000001</v>
      </c>
      <c r="M35" s="1016">
        <v>0.78220000000000001</v>
      </c>
    </row>
    <row r="36" spans="1:13">
      <c r="A36" s="1031">
        <v>3.4</v>
      </c>
      <c r="B36" s="1016">
        <v>1.0073000000000001</v>
      </c>
      <c r="C36" s="1016">
        <v>1.0073000000000001</v>
      </c>
      <c r="D36" s="1016">
        <v>0.90629999999999999</v>
      </c>
      <c r="E36" s="1016">
        <v>0.90629999999999999</v>
      </c>
      <c r="F36" s="1016">
        <v>0.90629999999999999</v>
      </c>
      <c r="G36" s="1016">
        <v>0.90629999999999999</v>
      </c>
      <c r="H36" s="1016">
        <v>0.90629999999999999</v>
      </c>
      <c r="I36" s="1016">
        <v>0.77210000000000001</v>
      </c>
      <c r="J36" s="1016">
        <v>0.77210000000000001</v>
      </c>
      <c r="K36" s="1016">
        <v>0.77210000000000001</v>
      </c>
      <c r="L36" s="1016">
        <v>0.77210000000000001</v>
      </c>
      <c r="M36" s="1016">
        <v>0.77210000000000001</v>
      </c>
    </row>
    <row r="37" spans="1:13">
      <c r="A37" s="1031">
        <v>3.5</v>
      </c>
      <c r="B37" s="1016">
        <v>1</v>
      </c>
      <c r="C37" s="1016">
        <v>1</v>
      </c>
      <c r="D37" s="1016">
        <v>0.89870000000000005</v>
      </c>
      <c r="E37" s="1016">
        <v>0.89870000000000005</v>
      </c>
      <c r="F37" s="1016">
        <v>0.89870000000000005</v>
      </c>
      <c r="G37" s="1016">
        <v>0.89870000000000005</v>
      </c>
      <c r="H37" s="1016">
        <v>0.89870000000000005</v>
      </c>
      <c r="I37" s="1016">
        <v>0.76239999999999997</v>
      </c>
      <c r="J37" s="1016">
        <v>0.76239999999999997</v>
      </c>
      <c r="K37" s="1016">
        <v>0.76239999999999997</v>
      </c>
      <c r="L37" s="1016">
        <v>0.76239999999999997</v>
      </c>
      <c r="M37" s="1016">
        <v>0.76239999999999997</v>
      </c>
    </row>
    <row r="38" spans="1:13">
      <c r="A38" s="1031">
        <v>3.6</v>
      </c>
      <c r="B38" s="1016">
        <v>0.99329999999999996</v>
      </c>
      <c r="C38" s="1016">
        <v>0.99329999999999996</v>
      </c>
      <c r="D38" s="1016">
        <v>0.89139999999999997</v>
      </c>
      <c r="E38" s="1016">
        <v>0.89139999999999997</v>
      </c>
      <c r="F38" s="1016">
        <v>0.89139999999999997</v>
      </c>
      <c r="G38" s="1016">
        <v>0.89139999999999997</v>
      </c>
      <c r="H38" s="1016">
        <v>0.89139999999999997</v>
      </c>
      <c r="I38" s="1016">
        <v>0.75319999999999998</v>
      </c>
      <c r="J38" s="1016">
        <v>0.75319999999999998</v>
      </c>
      <c r="K38" s="1016">
        <v>0.75319999999999998</v>
      </c>
      <c r="L38" s="1016">
        <v>0.75319999999999998</v>
      </c>
      <c r="M38" s="1016">
        <v>0.75319999999999998</v>
      </c>
    </row>
    <row r="39" spans="1:13">
      <c r="A39" s="1031">
        <v>3.7</v>
      </c>
      <c r="B39" s="1016">
        <v>0.9869</v>
      </c>
      <c r="C39" s="1016">
        <v>0.9869</v>
      </c>
      <c r="D39" s="1016">
        <v>0.88449999999999995</v>
      </c>
      <c r="E39" s="1016">
        <v>0.88449999999999995</v>
      </c>
      <c r="F39" s="1016">
        <v>0.88449999999999995</v>
      </c>
      <c r="G39" s="1016">
        <v>0.88449999999999995</v>
      </c>
      <c r="H39" s="1016">
        <v>0.88449999999999995</v>
      </c>
      <c r="I39" s="1016">
        <v>0.74460000000000004</v>
      </c>
      <c r="J39" s="1016">
        <v>0.74460000000000004</v>
      </c>
      <c r="K39" s="1016">
        <v>0.74460000000000004</v>
      </c>
      <c r="L39" s="1016">
        <v>0.74460000000000004</v>
      </c>
      <c r="M39" s="1016">
        <v>0.74460000000000004</v>
      </c>
    </row>
    <row r="40" spans="1:13">
      <c r="A40" s="1031">
        <v>3.8</v>
      </c>
      <c r="B40" s="1016">
        <v>0.98080000000000001</v>
      </c>
      <c r="C40" s="1016">
        <v>0.98080000000000001</v>
      </c>
      <c r="D40" s="1016">
        <v>0.87809999999999999</v>
      </c>
      <c r="E40" s="1016">
        <v>0.87809999999999999</v>
      </c>
      <c r="F40" s="1016">
        <v>0.87809999999999999</v>
      </c>
      <c r="G40" s="1016">
        <v>0.87809999999999999</v>
      </c>
      <c r="H40" s="1016">
        <v>0.87809999999999999</v>
      </c>
      <c r="I40" s="1016">
        <v>0.73640000000000005</v>
      </c>
      <c r="J40" s="1016">
        <v>0.73640000000000005</v>
      </c>
      <c r="K40" s="1016">
        <v>0.73640000000000005</v>
      </c>
      <c r="L40" s="1016">
        <v>0.73640000000000005</v>
      </c>
      <c r="M40" s="1016">
        <v>0.73640000000000005</v>
      </c>
    </row>
    <row r="41" spans="1:13">
      <c r="A41" s="1031">
        <v>3.9</v>
      </c>
      <c r="B41" s="1016">
        <v>0.97509999999999997</v>
      </c>
      <c r="C41" s="1016">
        <v>0.97509999999999997</v>
      </c>
      <c r="D41" s="1016">
        <v>0.87209999999999999</v>
      </c>
      <c r="E41" s="1016">
        <v>0.87209999999999999</v>
      </c>
      <c r="F41" s="1016">
        <v>0.87209999999999999</v>
      </c>
      <c r="G41" s="1016">
        <v>0.87209999999999999</v>
      </c>
      <c r="H41" s="1016">
        <v>0.87209999999999999</v>
      </c>
      <c r="I41" s="1016">
        <v>0.7288</v>
      </c>
      <c r="J41" s="1016">
        <v>0.7288</v>
      </c>
      <c r="K41" s="1016">
        <v>0.7288</v>
      </c>
      <c r="L41" s="1016">
        <v>0.7288</v>
      </c>
      <c r="M41" s="1016">
        <v>0.7288</v>
      </c>
    </row>
    <row r="42" spans="1:13">
      <c r="A42" s="1031">
        <v>4</v>
      </c>
      <c r="B42" s="1016">
        <v>0.96989999999999998</v>
      </c>
      <c r="C42" s="1016">
        <v>0.96989999999999998</v>
      </c>
      <c r="D42" s="1016">
        <v>0.86650000000000005</v>
      </c>
      <c r="E42" s="1016">
        <v>0.86650000000000005</v>
      </c>
      <c r="F42" s="1016">
        <v>0.86650000000000005</v>
      </c>
      <c r="G42" s="1016">
        <v>0.86650000000000005</v>
      </c>
      <c r="H42" s="1016">
        <v>0.86650000000000005</v>
      </c>
      <c r="I42" s="1016">
        <v>0.7218</v>
      </c>
      <c r="J42" s="1016">
        <v>0.7218</v>
      </c>
      <c r="K42" s="1016">
        <v>0.7218</v>
      </c>
      <c r="L42" s="1016">
        <v>0.7218</v>
      </c>
      <c r="M42" s="1016">
        <v>0.7218</v>
      </c>
    </row>
    <row r="43" spans="1:13">
      <c r="A43" s="1031">
        <v>4.0999999999999996</v>
      </c>
      <c r="B43" s="1016">
        <v>0.96479999999999999</v>
      </c>
      <c r="C43" s="1016">
        <v>0.96479999999999999</v>
      </c>
      <c r="D43" s="1016">
        <v>0.86109999999999998</v>
      </c>
      <c r="E43" s="1016">
        <v>0.86109999999999998</v>
      </c>
      <c r="F43" s="1016">
        <v>0.86109999999999998</v>
      </c>
      <c r="G43" s="1016">
        <v>0.86109999999999998</v>
      </c>
      <c r="H43" s="1016">
        <v>0.86109999999999998</v>
      </c>
      <c r="I43" s="1016">
        <v>0.71499999999999997</v>
      </c>
      <c r="J43" s="1016">
        <v>0.71499999999999997</v>
      </c>
      <c r="K43" s="1016">
        <v>0.71499999999999997</v>
      </c>
      <c r="L43" s="1016">
        <v>0.71499999999999997</v>
      </c>
      <c r="M43" s="1016">
        <v>0.71499999999999997</v>
      </c>
    </row>
    <row r="44" spans="1:13">
      <c r="A44" s="1031">
        <v>4.2</v>
      </c>
      <c r="B44" s="1016">
        <v>0.96</v>
      </c>
      <c r="C44" s="1016">
        <v>0.96</v>
      </c>
      <c r="D44" s="1016">
        <v>0.85599999999999998</v>
      </c>
      <c r="E44" s="1016">
        <v>0.85599999999999998</v>
      </c>
      <c r="F44" s="1016">
        <v>0.85599999999999998</v>
      </c>
      <c r="G44" s="1016">
        <v>0.85599999999999998</v>
      </c>
      <c r="H44" s="1016">
        <v>0.85599999999999998</v>
      </c>
      <c r="I44" s="1016">
        <v>0.70840000000000003</v>
      </c>
      <c r="J44" s="1016">
        <v>0.70840000000000003</v>
      </c>
      <c r="K44" s="1016">
        <v>0.70840000000000003</v>
      </c>
      <c r="L44" s="1016">
        <v>0.70840000000000003</v>
      </c>
      <c r="M44" s="1016">
        <v>0.70840000000000003</v>
      </c>
    </row>
    <row r="45" spans="1:13">
      <c r="A45" s="1031">
        <v>4.3</v>
      </c>
      <c r="B45" s="1016">
        <v>0.95530000000000004</v>
      </c>
      <c r="C45" s="1016">
        <v>0.95530000000000004</v>
      </c>
      <c r="D45" s="1016">
        <v>0.85099999999999998</v>
      </c>
      <c r="E45" s="1016">
        <v>0.85099999999999998</v>
      </c>
      <c r="F45" s="1016">
        <v>0.85099999999999998</v>
      </c>
      <c r="G45" s="1016">
        <v>0.85099999999999998</v>
      </c>
      <c r="H45" s="1016">
        <v>0.85099999999999998</v>
      </c>
      <c r="I45" s="1016">
        <v>0.70199999999999996</v>
      </c>
      <c r="J45" s="1016">
        <v>0.70199999999999996</v>
      </c>
      <c r="K45" s="1016">
        <v>0.70199999999999996</v>
      </c>
      <c r="L45" s="1016">
        <v>0.70199999999999996</v>
      </c>
      <c r="M45" s="1016">
        <v>0.70199999999999996</v>
      </c>
    </row>
    <row r="46" spans="1:13">
      <c r="A46" s="1031">
        <v>4.4000000000000004</v>
      </c>
      <c r="B46" s="1016">
        <v>0.95079999999999998</v>
      </c>
      <c r="C46" s="1016">
        <v>0.95079999999999998</v>
      </c>
      <c r="D46" s="1016">
        <v>0.84619999999999995</v>
      </c>
      <c r="E46" s="1016">
        <v>0.84619999999999995</v>
      </c>
      <c r="F46" s="1016">
        <v>0.84619999999999995</v>
      </c>
      <c r="G46" s="1016">
        <v>0.84619999999999995</v>
      </c>
      <c r="H46" s="1016">
        <v>0.84619999999999995</v>
      </c>
      <c r="I46" s="1016">
        <v>0.69579999999999997</v>
      </c>
      <c r="J46" s="1016">
        <v>0.69579999999999997</v>
      </c>
      <c r="K46" s="1016">
        <v>0.69579999999999997</v>
      </c>
      <c r="L46" s="1016">
        <v>0.69579999999999997</v>
      </c>
      <c r="M46" s="1016">
        <v>0.69579999999999997</v>
      </c>
    </row>
    <row r="47" spans="1:13">
      <c r="A47" s="1031">
        <v>4.5</v>
      </c>
      <c r="B47" s="1016">
        <v>0.94640000000000002</v>
      </c>
      <c r="C47" s="1016">
        <v>0.94640000000000002</v>
      </c>
      <c r="D47" s="1016">
        <v>0.84150000000000003</v>
      </c>
      <c r="E47" s="1016">
        <v>0.84150000000000003</v>
      </c>
      <c r="F47" s="1016">
        <v>0.84150000000000003</v>
      </c>
      <c r="G47" s="1016">
        <v>0.84150000000000003</v>
      </c>
      <c r="H47" s="1016">
        <v>0.84150000000000003</v>
      </c>
      <c r="I47" s="1016">
        <v>0.68989999999999996</v>
      </c>
      <c r="J47" s="1016">
        <v>0.68989999999999996</v>
      </c>
      <c r="K47" s="1016">
        <v>0.68989999999999996</v>
      </c>
      <c r="L47" s="1016">
        <v>0.68989999999999996</v>
      </c>
      <c r="M47" s="1016">
        <v>0.68989999999999996</v>
      </c>
    </row>
    <row r="48" spans="1:13">
      <c r="A48" s="1031">
        <v>4.5999999999999996</v>
      </c>
      <c r="B48" s="1016">
        <v>0.94230000000000003</v>
      </c>
      <c r="C48" s="1016">
        <v>0.94230000000000003</v>
      </c>
      <c r="D48" s="1016">
        <v>0.83709999999999996</v>
      </c>
      <c r="E48" s="1016">
        <v>0.83709999999999996</v>
      </c>
      <c r="F48" s="1016">
        <v>0.83709999999999996</v>
      </c>
      <c r="G48" s="1016">
        <v>0.83709999999999996</v>
      </c>
      <c r="H48" s="1016">
        <v>0.83709999999999996</v>
      </c>
      <c r="I48" s="1016">
        <v>0.68430000000000002</v>
      </c>
      <c r="J48" s="1016">
        <v>0.68430000000000002</v>
      </c>
      <c r="K48" s="1016">
        <v>0.68430000000000002</v>
      </c>
      <c r="L48" s="1016">
        <v>0.68430000000000002</v>
      </c>
      <c r="M48" s="1016">
        <v>0.68430000000000002</v>
      </c>
    </row>
    <row r="49" spans="1:13">
      <c r="A49" s="1031">
        <v>4.7</v>
      </c>
      <c r="B49" s="1016">
        <v>0.93830000000000002</v>
      </c>
      <c r="C49" s="1016">
        <v>0.93830000000000002</v>
      </c>
      <c r="D49" s="1016">
        <v>0.83279999999999998</v>
      </c>
      <c r="E49" s="1016">
        <v>0.83279999999999998</v>
      </c>
      <c r="F49" s="1016">
        <v>0.83279999999999998</v>
      </c>
      <c r="G49" s="1016">
        <v>0.83279999999999998</v>
      </c>
      <c r="H49" s="1016">
        <v>0.83279999999999998</v>
      </c>
      <c r="I49" s="1016">
        <v>0.67879999999999996</v>
      </c>
      <c r="J49" s="1016">
        <v>0.67879999999999996</v>
      </c>
      <c r="K49" s="1016">
        <v>0.67879999999999996</v>
      </c>
      <c r="L49" s="1016">
        <v>0.67879999999999996</v>
      </c>
      <c r="M49" s="1016">
        <v>0.67879999999999996</v>
      </c>
    </row>
    <row r="50" spans="1:13">
      <c r="A50" s="1031">
        <v>4.8</v>
      </c>
      <c r="B50" s="1016">
        <v>0.9345</v>
      </c>
      <c r="C50" s="1016">
        <v>0.9345</v>
      </c>
      <c r="D50" s="1016">
        <v>0.82869999999999999</v>
      </c>
      <c r="E50" s="1016">
        <v>0.82869999999999999</v>
      </c>
      <c r="F50" s="1016">
        <v>0.82869999999999999</v>
      </c>
      <c r="G50" s="1016">
        <v>0.82869999999999999</v>
      </c>
      <c r="H50" s="1016">
        <v>0.82869999999999999</v>
      </c>
      <c r="I50" s="1016">
        <v>0.67359999999999998</v>
      </c>
      <c r="J50" s="1016">
        <v>0.67359999999999998</v>
      </c>
      <c r="K50" s="1016">
        <v>0.67359999999999998</v>
      </c>
      <c r="L50" s="1016">
        <v>0.67359999999999998</v>
      </c>
      <c r="M50" s="1016">
        <v>0.67359999999999998</v>
      </c>
    </row>
    <row r="51" spans="1:13">
      <c r="A51" s="1031">
        <v>4.9000000000000004</v>
      </c>
      <c r="B51" s="1016">
        <v>0.93079999999999996</v>
      </c>
      <c r="C51" s="1016">
        <v>0.93079999999999996</v>
      </c>
      <c r="D51" s="1016">
        <v>0.82479999999999998</v>
      </c>
      <c r="E51" s="1016">
        <v>0.82479999999999998</v>
      </c>
      <c r="F51" s="1016">
        <v>0.82479999999999998</v>
      </c>
      <c r="G51" s="1016">
        <v>0.82479999999999998</v>
      </c>
      <c r="H51" s="1016">
        <v>0.82479999999999998</v>
      </c>
      <c r="I51" s="1016">
        <v>0.66849999999999998</v>
      </c>
      <c r="J51" s="1016">
        <v>0.66849999999999998</v>
      </c>
      <c r="K51" s="1016">
        <v>0.66849999999999998</v>
      </c>
      <c r="L51" s="1016">
        <v>0.66849999999999998</v>
      </c>
      <c r="M51" s="1016">
        <v>0.66849999999999998</v>
      </c>
    </row>
    <row r="52" spans="1:13">
      <c r="A52" s="1031">
        <v>5</v>
      </c>
      <c r="B52" s="1016">
        <v>0.9274</v>
      </c>
      <c r="C52" s="1016">
        <v>0.9274</v>
      </c>
      <c r="D52" s="1016">
        <v>0.82110000000000005</v>
      </c>
      <c r="E52" s="1016">
        <v>0.82110000000000005</v>
      </c>
      <c r="F52" s="1016">
        <v>0.82110000000000005</v>
      </c>
      <c r="G52" s="1016">
        <v>0.82110000000000005</v>
      </c>
      <c r="H52" s="1016">
        <v>0.82110000000000005</v>
      </c>
      <c r="I52" s="1016">
        <v>0.66369999999999996</v>
      </c>
      <c r="J52" s="1016">
        <v>0.66369999999999996</v>
      </c>
      <c r="K52" s="1016">
        <v>0.66369999999999996</v>
      </c>
      <c r="L52" s="1016">
        <v>0.66369999999999996</v>
      </c>
      <c r="M52" s="1016">
        <v>0.66369999999999996</v>
      </c>
    </row>
    <row r="53" spans="1:13">
      <c r="A53" s="1007">
        <v>5.0999999999999996</v>
      </c>
      <c r="B53" s="1016">
        <v>0.92410000000000003</v>
      </c>
      <c r="C53" s="1016">
        <v>0.92410000000000003</v>
      </c>
      <c r="D53" s="1016">
        <v>0.8175</v>
      </c>
      <c r="E53" s="1016">
        <v>0.8175</v>
      </c>
      <c r="F53" s="1016">
        <v>0.8175</v>
      </c>
      <c r="G53" s="1016">
        <v>0.8175</v>
      </c>
      <c r="H53" s="1016">
        <v>0.8175</v>
      </c>
      <c r="I53" s="1016">
        <v>0.65900000000000003</v>
      </c>
      <c r="J53" s="1016">
        <v>0.65900000000000003</v>
      </c>
      <c r="K53" s="1016">
        <v>0.65900000000000003</v>
      </c>
      <c r="L53" s="1016">
        <v>0.65900000000000003</v>
      </c>
      <c r="M53" s="1016">
        <v>0.65900000000000003</v>
      </c>
    </row>
    <row r="54" spans="1:13">
      <c r="A54" s="1007">
        <v>5.2</v>
      </c>
      <c r="B54" s="1016">
        <v>0.92090000000000005</v>
      </c>
      <c r="C54" s="1016">
        <v>0.92090000000000005</v>
      </c>
      <c r="D54" s="1016">
        <v>0.81399999999999995</v>
      </c>
      <c r="E54" s="1016">
        <v>0.81399999999999995</v>
      </c>
      <c r="F54" s="1016">
        <v>0.81399999999999995</v>
      </c>
      <c r="G54" s="1016">
        <v>0.81399999999999995</v>
      </c>
      <c r="H54" s="1016">
        <v>0.81399999999999995</v>
      </c>
      <c r="I54" s="1016">
        <v>0.65449999999999997</v>
      </c>
      <c r="J54" s="1016">
        <v>0.65449999999999997</v>
      </c>
      <c r="K54" s="1016">
        <v>0.65449999999999997</v>
      </c>
      <c r="L54" s="1016">
        <v>0.65449999999999997</v>
      </c>
      <c r="M54" s="1016">
        <v>0.65449999999999997</v>
      </c>
    </row>
    <row r="55" spans="1:13">
      <c r="A55" s="1007">
        <v>5.3</v>
      </c>
      <c r="B55" s="1016">
        <v>0.91790000000000005</v>
      </c>
      <c r="C55" s="1016">
        <v>0.91790000000000005</v>
      </c>
      <c r="D55" s="1016">
        <v>0.81059999999999999</v>
      </c>
      <c r="E55" s="1016">
        <v>0.81059999999999999</v>
      </c>
      <c r="F55" s="1016">
        <v>0.81059999999999999</v>
      </c>
      <c r="G55" s="1016">
        <v>0.81059999999999999</v>
      </c>
      <c r="H55" s="1016">
        <v>0.81059999999999999</v>
      </c>
      <c r="I55" s="1016">
        <v>0.6502</v>
      </c>
      <c r="J55" s="1016">
        <v>0.6502</v>
      </c>
      <c r="K55" s="1016">
        <v>0.6502</v>
      </c>
      <c r="L55" s="1016">
        <v>0.6502</v>
      </c>
      <c r="M55" s="1016">
        <v>0.6502</v>
      </c>
    </row>
    <row r="56" spans="1:13">
      <c r="A56" s="1007">
        <v>5.4</v>
      </c>
      <c r="B56" s="1016">
        <v>0.91490000000000005</v>
      </c>
      <c r="C56" s="1016">
        <v>0.91490000000000005</v>
      </c>
      <c r="D56" s="1016">
        <v>0.80740000000000001</v>
      </c>
      <c r="E56" s="1016">
        <v>0.80740000000000001</v>
      </c>
      <c r="F56" s="1016">
        <v>0.80740000000000001</v>
      </c>
      <c r="G56" s="1016">
        <v>0.80740000000000001</v>
      </c>
      <c r="H56" s="1016">
        <v>0.80740000000000001</v>
      </c>
      <c r="I56" s="1016">
        <v>0.64590000000000003</v>
      </c>
      <c r="J56" s="1016">
        <v>0.64590000000000003</v>
      </c>
      <c r="K56" s="1016">
        <v>0.64590000000000003</v>
      </c>
      <c r="L56" s="1016">
        <v>0.64590000000000003</v>
      </c>
      <c r="M56" s="1016">
        <v>0.64590000000000003</v>
      </c>
    </row>
    <row r="57" spans="1:13">
      <c r="A57" s="1007">
        <v>5.5</v>
      </c>
      <c r="B57" s="1016">
        <v>0.91200000000000003</v>
      </c>
      <c r="C57" s="1016">
        <v>0.91200000000000003</v>
      </c>
      <c r="D57" s="1016">
        <v>0.80420000000000003</v>
      </c>
      <c r="E57" s="1016">
        <v>0.80420000000000003</v>
      </c>
      <c r="F57" s="1016">
        <v>0.80420000000000003</v>
      </c>
      <c r="G57" s="1016">
        <v>0.80420000000000003</v>
      </c>
      <c r="H57" s="1016">
        <v>0.80420000000000003</v>
      </c>
      <c r="I57" s="1016">
        <v>0.64180000000000004</v>
      </c>
      <c r="J57" s="1016">
        <v>0.64180000000000004</v>
      </c>
      <c r="K57" s="1016">
        <v>0.64180000000000004</v>
      </c>
      <c r="L57" s="1016">
        <v>0.64180000000000004</v>
      </c>
      <c r="M57" s="1016">
        <v>0.64180000000000004</v>
      </c>
    </row>
    <row r="58" spans="1:13">
      <c r="A58" s="1007">
        <v>5.6</v>
      </c>
      <c r="B58" s="1016">
        <v>0.90910000000000002</v>
      </c>
      <c r="C58" s="1016">
        <v>0.90910000000000002</v>
      </c>
      <c r="D58" s="1016">
        <v>0.80120000000000002</v>
      </c>
      <c r="E58" s="1016">
        <v>0.80120000000000002</v>
      </c>
      <c r="F58" s="1016">
        <v>0.80120000000000002</v>
      </c>
      <c r="G58" s="1016">
        <v>0.80120000000000002</v>
      </c>
      <c r="H58" s="1016">
        <v>0.80120000000000002</v>
      </c>
      <c r="I58" s="1016">
        <v>0.63790000000000002</v>
      </c>
      <c r="J58" s="1016">
        <v>0.63790000000000002</v>
      </c>
      <c r="K58" s="1016">
        <v>0.63790000000000002</v>
      </c>
      <c r="L58" s="1016">
        <v>0.63790000000000002</v>
      </c>
      <c r="M58" s="1016">
        <v>0.63790000000000002</v>
      </c>
    </row>
    <row r="59" spans="1:13">
      <c r="A59" s="1031">
        <v>5.7</v>
      </c>
      <c r="B59" s="1016">
        <v>0.90639999999999998</v>
      </c>
      <c r="C59" s="1016">
        <v>0.90639999999999998</v>
      </c>
      <c r="D59" s="1016">
        <v>0.79820000000000002</v>
      </c>
      <c r="E59" s="1016">
        <v>0.79820000000000002</v>
      </c>
      <c r="F59" s="1016">
        <v>0.79820000000000002</v>
      </c>
      <c r="G59" s="1016">
        <v>0.79820000000000002</v>
      </c>
      <c r="H59" s="1016">
        <v>0.79820000000000002</v>
      </c>
      <c r="I59" s="1016">
        <v>0.6341</v>
      </c>
      <c r="J59" s="1016">
        <v>0.6341</v>
      </c>
      <c r="K59" s="1016">
        <v>0.6341</v>
      </c>
      <c r="L59" s="1016">
        <v>0.6341</v>
      </c>
      <c r="M59" s="1016">
        <v>0.6341</v>
      </c>
    </row>
    <row r="60" spans="1:13">
      <c r="A60" s="1007">
        <v>5.8</v>
      </c>
      <c r="B60" s="1016">
        <v>0.90380000000000005</v>
      </c>
      <c r="C60" s="1016">
        <v>0.90380000000000005</v>
      </c>
      <c r="D60" s="1016">
        <v>0.7954</v>
      </c>
      <c r="E60" s="1016">
        <v>0.7954</v>
      </c>
      <c r="F60" s="1016">
        <v>0.7954</v>
      </c>
      <c r="G60" s="1016">
        <v>0.7954</v>
      </c>
      <c r="H60" s="1016">
        <v>0.7954</v>
      </c>
      <c r="I60" s="1016">
        <v>0.63039999999999996</v>
      </c>
      <c r="J60" s="1016">
        <v>0.63039999999999996</v>
      </c>
      <c r="K60" s="1016">
        <v>0.63039999999999996</v>
      </c>
      <c r="L60" s="1016">
        <v>0.63039999999999996</v>
      </c>
      <c r="M60" s="1016">
        <v>0.63039999999999996</v>
      </c>
    </row>
    <row r="61" spans="1:13">
      <c r="A61" s="1007">
        <v>5.9</v>
      </c>
      <c r="B61" s="1016">
        <v>0.90129999999999999</v>
      </c>
      <c r="C61" s="1016">
        <v>0.90129999999999999</v>
      </c>
      <c r="D61" s="1016">
        <v>0.79269999999999996</v>
      </c>
      <c r="E61" s="1016">
        <v>0.79269999999999996</v>
      </c>
      <c r="F61" s="1016">
        <v>0.79269999999999996</v>
      </c>
      <c r="G61" s="1016">
        <v>0.79269999999999996</v>
      </c>
      <c r="H61" s="1016">
        <v>0.79269999999999996</v>
      </c>
      <c r="I61" s="1016">
        <v>0.62690000000000001</v>
      </c>
      <c r="J61" s="1016">
        <v>0.62690000000000001</v>
      </c>
      <c r="K61" s="1016">
        <v>0.62690000000000001</v>
      </c>
      <c r="L61" s="1016">
        <v>0.62690000000000001</v>
      </c>
      <c r="M61" s="1016">
        <v>0.62690000000000001</v>
      </c>
    </row>
    <row r="62" spans="1:13">
      <c r="A62" s="1007">
        <v>6</v>
      </c>
      <c r="B62" s="1016">
        <v>0.89890000000000003</v>
      </c>
      <c r="C62" s="1016">
        <v>0.89890000000000003</v>
      </c>
      <c r="D62" s="1016">
        <v>0.79020000000000001</v>
      </c>
      <c r="E62" s="1016">
        <v>0.79020000000000001</v>
      </c>
      <c r="F62" s="1016">
        <v>0.79020000000000001</v>
      </c>
      <c r="G62" s="1016">
        <v>0.79020000000000001</v>
      </c>
      <c r="H62" s="1016">
        <v>0.79020000000000001</v>
      </c>
      <c r="I62" s="1016">
        <v>0.62350000000000005</v>
      </c>
      <c r="J62" s="1016">
        <v>0.62350000000000005</v>
      </c>
      <c r="K62" s="1016">
        <v>0.62350000000000005</v>
      </c>
      <c r="L62" s="1016">
        <v>0.62350000000000005</v>
      </c>
      <c r="M62" s="1016">
        <v>0.62350000000000005</v>
      </c>
    </row>
    <row r="63" spans="1:13">
      <c r="A63" s="1007">
        <v>6.1</v>
      </c>
      <c r="B63" s="1016">
        <v>0.89649999999999996</v>
      </c>
      <c r="C63" s="1016">
        <v>0.89649999999999996</v>
      </c>
      <c r="D63" s="1016">
        <v>0.78769999999999996</v>
      </c>
      <c r="E63" s="1016">
        <v>0.78769999999999996</v>
      </c>
      <c r="F63" s="1016">
        <v>0.78769999999999996</v>
      </c>
      <c r="G63" s="1016">
        <v>0.78769999999999996</v>
      </c>
      <c r="H63" s="1016">
        <v>0.78769999999999996</v>
      </c>
      <c r="I63" s="1016">
        <v>0.62029999999999996</v>
      </c>
      <c r="J63" s="1016">
        <v>0.62029999999999996</v>
      </c>
      <c r="K63" s="1016">
        <v>0.62029999999999996</v>
      </c>
      <c r="L63" s="1016">
        <v>0.62029999999999996</v>
      </c>
      <c r="M63" s="1016">
        <v>0.62029999999999996</v>
      </c>
    </row>
    <row r="64" spans="1:13">
      <c r="A64" s="1007">
        <v>6.2</v>
      </c>
      <c r="B64" s="1016">
        <v>0.89429999999999998</v>
      </c>
      <c r="C64" s="1016">
        <v>0.89429999999999998</v>
      </c>
      <c r="D64" s="1016">
        <v>0.78520000000000001</v>
      </c>
      <c r="E64" s="1016">
        <v>0.78520000000000001</v>
      </c>
      <c r="F64" s="1016">
        <v>0.78520000000000001</v>
      </c>
      <c r="G64" s="1016">
        <v>0.78520000000000001</v>
      </c>
      <c r="H64" s="1016">
        <v>0.78520000000000001</v>
      </c>
      <c r="I64" s="1016">
        <v>0.61719999999999997</v>
      </c>
      <c r="J64" s="1016">
        <v>0.61719999999999997</v>
      </c>
      <c r="K64" s="1016">
        <v>0.61719999999999997</v>
      </c>
      <c r="L64" s="1016">
        <v>0.61719999999999997</v>
      </c>
      <c r="M64" s="1016">
        <v>0.61719999999999997</v>
      </c>
    </row>
    <row r="65" spans="1:13">
      <c r="A65" s="1007">
        <v>6.3</v>
      </c>
      <c r="B65" s="1016">
        <v>0.89200000000000002</v>
      </c>
      <c r="C65" s="1016">
        <v>0.89200000000000002</v>
      </c>
      <c r="D65" s="1016">
        <v>0.78280000000000005</v>
      </c>
      <c r="E65" s="1016">
        <v>0.78280000000000005</v>
      </c>
      <c r="F65" s="1016">
        <v>0.78280000000000005</v>
      </c>
      <c r="G65" s="1016">
        <v>0.78280000000000005</v>
      </c>
      <c r="H65" s="1016">
        <v>0.78280000000000005</v>
      </c>
      <c r="I65" s="1016">
        <v>0.61409999999999998</v>
      </c>
      <c r="J65" s="1016">
        <v>0.61409999999999998</v>
      </c>
      <c r="K65" s="1016">
        <v>0.61409999999999998</v>
      </c>
      <c r="L65" s="1016">
        <v>0.61409999999999998</v>
      </c>
      <c r="M65" s="1016">
        <v>0.61409999999999998</v>
      </c>
    </row>
    <row r="66" spans="1:13">
      <c r="A66" s="1007">
        <v>6.4</v>
      </c>
      <c r="B66" s="1016">
        <v>0.88990000000000002</v>
      </c>
      <c r="C66" s="1016">
        <v>0.88990000000000002</v>
      </c>
      <c r="D66" s="1016">
        <v>0.78039999999999998</v>
      </c>
      <c r="E66" s="1016">
        <v>0.78039999999999998</v>
      </c>
      <c r="F66" s="1016">
        <v>0.78039999999999998</v>
      </c>
      <c r="G66" s="1016">
        <v>0.78039999999999998</v>
      </c>
      <c r="H66" s="1016">
        <v>0.78039999999999998</v>
      </c>
      <c r="I66" s="1016">
        <v>0.61099999999999999</v>
      </c>
      <c r="J66" s="1016">
        <v>0.61099999999999999</v>
      </c>
      <c r="K66" s="1016">
        <v>0.61099999999999999</v>
      </c>
      <c r="L66" s="1016">
        <v>0.61099999999999999</v>
      </c>
      <c r="M66" s="1016">
        <v>0.61099999999999999</v>
      </c>
    </row>
    <row r="67" spans="1:13">
      <c r="A67" s="1007">
        <v>6.5</v>
      </c>
      <c r="B67" s="1016">
        <v>0.88780000000000003</v>
      </c>
      <c r="C67" s="1016">
        <v>0.88780000000000003</v>
      </c>
      <c r="D67" s="1016">
        <v>0.77810000000000001</v>
      </c>
      <c r="E67" s="1016">
        <v>0.77810000000000001</v>
      </c>
      <c r="F67" s="1016">
        <v>0.77810000000000001</v>
      </c>
      <c r="G67" s="1016">
        <v>0.77810000000000001</v>
      </c>
      <c r="H67" s="1016">
        <v>0.77810000000000001</v>
      </c>
      <c r="I67" s="1016">
        <v>0.60799999999999998</v>
      </c>
      <c r="J67" s="1016">
        <v>0.60799999999999998</v>
      </c>
      <c r="K67" s="1016">
        <v>0.60799999999999998</v>
      </c>
      <c r="L67" s="1016">
        <v>0.60799999999999998</v>
      </c>
      <c r="M67" s="1016">
        <v>0.60799999999999998</v>
      </c>
    </row>
    <row r="68" spans="1:13">
      <c r="A68" s="1007">
        <v>6.6</v>
      </c>
      <c r="B68" s="1016">
        <v>0.88580000000000003</v>
      </c>
      <c r="C68" s="1016">
        <v>0.88580000000000003</v>
      </c>
      <c r="D68" s="1016">
        <v>0.77580000000000005</v>
      </c>
      <c r="E68" s="1016">
        <v>0.77580000000000005</v>
      </c>
      <c r="F68" s="1016">
        <v>0.77580000000000005</v>
      </c>
      <c r="G68" s="1016">
        <v>0.77580000000000005</v>
      </c>
      <c r="H68" s="1016">
        <v>0.77580000000000005</v>
      </c>
      <c r="I68" s="1016">
        <v>0.60499999999999998</v>
      </c>
      <c r="J68" s="1016">
        <v>0.60499999999999998</v>
      </c>
      <c r="K68" s="1016">
        <v>0.60499999999999998</v>
      </c>
      <c r="L68" s="1016">
        <v>0.60499999999999998</v>
      </c>
      <c r="M68" s="1016">
        <v>0.60499999999999998</v>
      </c>
    </row>
    <row r="69" spans="1:13">
      <c r="A69" s="1007">
        <v>6.7</v>
      </c>
      <c r="B69" s="1016">
        <v>0.88380000000000003</v>
      </c>
      <c r="C69" s="1016">
        <v>0.88380000000000003</v>
      </c>
      <c r="D69" s="1016">
        <v>0.77359999999999995</v>
      </c>
      <c r="E69" s="1016">
        <v>0.77359999999999995</v>
      </c>
      <c r="F69" s="1016">
        <v>0.77359999999999995</v>
      </c>
      <c r="G69" s="1016">
        <v>0.77359999999999995</v>
      </c>
      <c r="H69" s="1016">
        <v>0.77359999999999995</v>
      </c>
      <c r="I69" s="1016">
        <v>0.60209999999999997</v>
      </c>
      <c r="J69" s="1016">
        <v>0.60209999999999997</v>
      </c>
      <c r="K69" s="1016">
        <v>0.60209999999999997</v>
      </c>
      <c r="L69" s="1016">
        <v>0.60209999999999997</v>
      </c>
      <c r="M69" s="1016">
        <v>0.60209999999999997</v>
      </c>
    </row>
    <row r="70" spans="1:13">
      <c r="A70" s="1007">
        <v>6.8</v>
      </c>
      <c r="B70" s="1016">
        <v>0.88190000000000002</v>
      </c>
      <c r="C70" s="1016">
        <v>0.88190000000000002</v>
      </c>
      <c r="D70" s="1016">
        <v>0.77159999999999995</v>
      </c>
      <c r="E70" s="1016">
        <v>0.77159999999999995</v>
      </c>
      <c r="F70" s="1016">
        <v>0.77159999999999995</v>
      </c>
      <c r="G70" s="1016">
        <v>0.77159999999999995</v>
      </c>
      <c r="H70" s="1016">
        <v>0.77159999999999995</v>
      </c>
      <c r="I70" s="1016">
        <v>0.59930000000000005</v>
      </c>
      <c r="J70" s="1016">
        <v>0.59930000000000005</v>
      </c>
      <c r="K70" s="1016">
        <v>0.59930000000000005</v>
      </c>
      <c r="L70" s="1016">
        <v>0.59930000000000005</v>
      </c>
      <c r="M70" s="1016">
        <v>0.59930000000000005</v>
      </c>
    </row>
    <row r="71" spans="1:13">
      <c r="A71" s="1007">
        <v>6.9</v>
      </c>
      <c r="B71" s="1016">
        <v>0.88</v>
      </c>
      <c r="C71" s="1016">
        <v>0.88</v>
      </c>
      <c r="D71" s="1016">
        <v>0.76949999999999996</v>
      </c>
      <c r="E71" s="1016">
        <v>0.76949999999999996</v>
      </c>
      <c r="F71" s="1016">
        <v>0.76949999999999996</v>
      </c>
      <c r="G71" s="1016">
        <v>0.76949999999999996</v>
      </c>
      <c r="H71" s="1016">
        <v>0.76949999999999996</v>
      </c>
      <c r="I71" s="1016">
        <v>0.59640000000000004</v>
      </c>
      <c r="J71" s="1016">
        <v>0.59640000000000004</v>
      </c>
      <c r="K71" s="1016">
        <v>0.59640000000000004</v>
      </c>
      <c r="L71" s="1016">
        <v>0.59640000000000004</v>
      </c>
      <c r="M71" s="1016">
        <v>0.59640000000000004</v>
      </c>
    </row>
    <row r="72" spans="1:13">
      <c r="A72" s="1007">
        <v>7</v>
      </c>
      <c r="B72" s="1016">
        <v>0.87819999999999998</v>
      </c>
      <c r="C72" s="1016">
        <v>0.87819999999999998</v>
      </c>
      <c r="D72" s="1016">
        <v>0.76749999999999996</v>
      </c>
      <c r="E72" s="1016">
        <v>0.76749999999999996</v>
      </c>
      <c r="F72" s="1016">
        <v>0.76749999999999996</v>
      </c>
      <c r="G72" s="1016">
        <v>0.76749999999999996</v>
      </c>
      <c r="H72" s="1016">
        <v>0.76749999999999996</v>
      </c>
      <c r="I72" s="1016">
        <v>0.59360000000000002</v>
      </c>
      <c r="J72" s="1016">
        <v>0.59360000000000002</v>
      </c>
      <c r="K72" s="1016">
        <v>0.59360000000000002</v>
      </c>
      <c r="L72" s="1016">
        <v>0.59360000000000002</v>
      </c>
      <c r="M72" s="1016">
        <v>0.59360000000000002</v>
      </c>
    </row>
    <row r="73" spans="1:13">
      <c r="A73" s="1007">
        <v>7.1</v>
      </c>
      <c r="B73" s="1016">
        <v>0.87660000000000005</v>
      </c>
      <c r="C73" s="1016">
        <v>0.87660000000000005</v>
      </c>
      <c r="D73" s="1016">
        <v>0.76570000000000005</v>
      </c>
      <c r="E73" s="1016">
        <v>0.76570000000000005</v>
      </c>
      <c r="F73" s="1016">
        <v>0.76570000000000005</v>
      </c>
      <c r="G73" s="1016">
        <v>0.76570000000000005</v>
      </c>
      <c r="H73" s="1016">
        <v>0.76570000000000005</v>
      </c>
      <c r="I73" s="1016">
        <v>0.59109999999999996</v>
      </c>
      <c r="J73" s="1016">
        <v>0.59109999999999996</v>
      </c>
      <c r="K73" s="1016">
        <v>0.59109999999999996</v>
      </c>
      <c r="L73" s="1016">
        <v>0.59109999999999996</v>
      </c>
      <c r="M73" s="1016">
        <v>0.59109999999999996</v>
      </c>
    </row>
    <row r="74" spans="1:13">
      <c r="A74" s="1007">
        <v>7.2</v>
      </c>
      <c r="B74" s="1016">
        <v>0.87490000000000001</v>
      </c>
      <c r="C74" s="1016">
        <v>0.87490000000000001</v>
      </c>
      <c r="D74" s="1016">
        <v>0.76380000000000003</v>
      </c>
      <c r="E74" s="1016">
        <v>0.76380000000000003</v>
      </c>
      <c r="F74" s="1016">
        <v>0.76380000000000003</v>
      </c>
      <c r="G74" s="1016">
        <v>0.76380000000000003</v>
      </c>
      <c r="H74" s="1016">
        <v>0.76380000000000003</v>
      </c>
      <c r="I74" s="1016">
        <v>0.58860000000000001</v>
      </c>
      <c r="J74" s="1016">
        <v>0.58860000000000001</v>
      </c>
      <c r="K74" s="1016">
        <v>0.58860000000000001</v>
      </c>
      <c r="L74" s="1016">
        <v>0.58860000000000001</v>
      </c>
      <c r="M74" s="1016">
        <v>0.58860000000000001</v>
      </c>
    </row>
    <row r="75" spans="1:13">
      <c r="A75" s="1007">
        <v>7.3</v>
      </c>
      <c r="B75" s="1016">
        <v>0.87329999999999997</v>
      </c>
      <c r="C75" s="1016">
        <v>0.87329999999999997</v>
      </c>
      <c r="D75" s="1016">
        <v>0.76200000000000001</v>
      </c>
      <c r="E75" s="1016">
        <v>0.76200000000000001</v>
      </c>
      <c r="F75" s="1016">
        <v>0.76200000000000001</v>
      </c>
      <c r="G75" s="1016">
        <v>0.76200000000000001</v>
      </c>
      <c r="H75" s="1016">
        <v>0.76200000000000001</v>
      </c>
      <c r="I75" s="1016">
        <v>0.58620000000000005</v>
      </c>
      <c r="J75" s="1016">
        <v>0.58620000000000005</v>
      </c>
      <c r="K75" s="1016">
        <v>0.58620000000000005</v>
      </c>
      <c r="L75" s="1016">
        <v>0.58620000000000005</v>
      </c>
      <c r="M75" s="1016">
        <v>0.58620000000000005</v>
      </c>
    </row>
    <row r="76" spans="1:13">
      <c r="A76" s="1007">
        <v>7.4</v>
      </c>
      <c r="B76" s="1016">
        <v>0.87160000000000004</v>
      </c>
      <c r="C76" s="1016">
        <v>0.87160000000000004</v>
      </c>
      <c r="D76" s="1016">
        <v>0.76029999999999998</v>
      </c>
      <c r="E76" s="1016">
        <v>0.76029999999999998</v>
      </c>
      <c r="F76" s="1016">
        <v>0.76029999999999998</v>
      </c>
      <c r="G76" s="1016">
        <v>0.76029999999999998</v>
      </c>
      <c r="H76" s="1016">
        <v>0.76029999999999998</v>
      </c>
      <c r="I76" s="1016">
        <v>0.58379999999999999</v>
      </c>
      <c r="J76" s="1016">
        <v>0.58379999999999999</v>
      </c>
      <c r="K76" s="1016">
        <v>0.58379999999999999</v>
      </c>
      <c r="L76" s="1016">
        <v>0.58379999999999999</v>
      </c>
      <c r="M76" s="1016">
        <v>0.58379999999999999</v>
      </c>
    </row>
    <row r="77" spans="1:13">
      <c r="A77" s="1007">
        <v>7.5</v>
      </c>
      <c r="B77" s="1016">
        <v>0.87</v>
      </c>
      <c r="C77" s="1016">
        <v>0.87</v>
      </c>
      <c r="D77" s="1016">
        <v>0.75849999999999995</v>
      </c>
      <c r="E77" s="1016">
        <v>0.75849999999999995</v>
      </c>
      <c r="F77" s="1016">
        <v>0.75849999999999995</v>
      </c>
      <c r="G77" s="1016">
        <v>0.75849999999999995</v>
      </c>
      <c r="H77" s="1016">
        <v>0.75849999999999995</v>
      </c>
      <c r="I77" s="1016">
        <v>0.58140000000000003</v>
      </c>
      <c r="J77" s="1016">
        <v>0.58140000000000003</v>
      </c>
      <c r="K77" s="1016">
        <v>0.58140000000000003</v>
      </c>
      <c r="L77" s="1016">
        <v>0.58140000000000003</v>
      </c>
      <c r="M77" s="1016">
        <v>0.58140000000000003</v>
      </c>
    </row>
    <row r="78" spans="1:13">
      <c r="A78" s="1007">
        <v>7.6</v>
      </c>
      <c r="B78" s="1016">
        <v>0.86839999999999995</v>
      </c>
      <c r="C78" s="1016">
        <v>0.86839999999999995</v>
      </c>
      <c r="D78" s="1016">
        <v>0.75680000000000003</v>
      </c>
      <c r="E78" s="1016">
        <v>0.75680000000000003</v>
      </c>
      <c r="F78" s="1016">
        <v>0.75680000000000003</v>
      </c>
      <c r="G78" s="1016">
        <v>0.75680000000000003</v>
      </c>
      <c r="H78" s="1016">
        <v>0.75680000000000003</v>
      </c>
      <c r="I78" s="1016">
        <v>0.57899999999999996</v>
      </c>
      <c r="J78" s="1016">
        <v>0.57899999999999996</v>
      </c>
      <c r="K78" s="1016">
        <v>0.57899999999999996</v>
      </c>
      <c r="L78" s="1016">
        <v>0.57899999999999996</v>
      </c>
      <c r="M78" s="1016">
        <v>0.57899999999999996</v>
      </c>
    </row>
    <row r="79" spans="1:13">
      <c r="A79" s="1007">
        <v>7.7</v>
      </c>
      <c r="B79" s="1016">
        <v>0.8669</v>
      </c>
      <c r="C79" s="1016">
        <v>0.8669</v>
      </c>
      <c r="D79" s="1016">
        <v>0.755</v>
      </c>
      <c r="E79" s="1016">
        <v>0.755</v>
      </c>
      <c r="F79" s="1016">
        <v>0.755</v>
      </c>
      <c r="G79" s="1016">
        <v>0.755</v>
      </c>
      <c r="H79" s="1016">
        <v>0.755</v>
      </c>
      <c r="I79" s="1016">
        <v>0.57669999999999999</v>
      </c>
      <c r="J79" s="1016">
        <v>0.57669999999999999</v>
      </c>
      <c r="K79" s="1016">
        <v>0.57669999999999999</v>
      </c>
      <c r="L79" s="1016">
        <v>0.57669999999999999</v>
      </c>
      <c r="M79" s="1016">
        <v>0.57669999999999999</v>
      </c>
    </row>
    <row r="80" spans="1:13">
      <c r="A80" s="1007">
        <v>7.8</v>
      </c>
      <c r="B80" s="1016">
        <v>0.86539999999999995</v>
      </c>
      <c r="C80" s="1016">
        <v>0.86539999999999995</v>
      </c>
      <c r="D80" s="1016">
        <v>0.75329999999999997</v>
      </c>
      <c r="E80" s="1016">
        <v>0.75329999999999997</v>
      </c>
      <c r="F80" s="1016">
        <v>0.75329999999999997</v>
      </c>
      <c r="G80" s="1016">
        <v>0.75329999999999997</v>
      </c>
      <c r="H80" s="1016">
        <v>0.75329999999999997</v>
      </c>
      <c r="I80" s="1016">
        <v>0.57450000000000001</v>
      </c>
      <c r="J80" s="1016">
        <v>0.57450000000000001</v>
      </c>
      <c r="K80" s="1016">
        <v>0.57450000000000001</v>
      </c>
      <c r="L80" s="1016">
        <v>0.57450000000000001</v>
      </c>
      <c r="M80" s="1016">
        <v>0.57450000000000001</v>
      </c>
    </row>
    <row r="81" spans="1:13">
      <c r="A81" s="1007">
        <v>7.9</v>
      </c>
      <c r="B81" s="1016">
        <v>0.86380000000000001</v>
      </c>
      <c r="C81" s="1016">
        <v>0.86380000000000001</v>
      </c>
      <c r="D81" s="1016">
        <v>0.75170000000000003</v>
      </c>
      <c r="E81" s="1016">
        <v>0.75170000000000003</v>
      </c>
      <c r="F81" s="1016">
        <v>0.75170000000000003</v>
      </c>
      <c r="G81" s="1016">
        <v>0.75170000000000003</v>
      </c>
      <c r="H81" s="1016">
        <v>0.75170000000000003</v>
      </c>
      <c r="I81" s="1016">
        <v>0.57220000000000004</v>
      </c>
      <c r="J81" s="1016">
        <v>0.57220000000000004</v>
      </c>
      <c r="K81" s="1016">
        <v>0.57220000000000004</v>
      </c>
      <c r="L81" s="1016">
        <v>0.57220000000000004</v>
      </c>
      <c r="M81" s="1016">
        <v>0.57220000000000004</v>
      </c>
    </row>
    <row r="82" spans="1:13">
      <c r="A82" s="1007">
        <v>8</v>
      </c>
      <c r="B82" s="1016">
        <v>0.86240000000000006</v>
      </c>
      <c r="C82" s="1016">
        <v>0.86240000000000006</v>
      </c>
      <c r="D82" s="1016">
        <v>0.75</v>
      </c>
      <c r="E82" s="1016">
        <v>0.75</v>
      </c>
      <c r="F82" s="1016">
        <v>0.75</v>
      </c>
      <c r="G82" s="1016">
        <v>0.75</v>
      </c>
      <c r="H82" s="1016">
        <v>0.75</v>
      </c>
      <c r="I82" s="1016">
        <v>0.56989999999999996</v>
      </c>
      <c r="J82" s="1016">
        <v>0.56989999999999996</v>
      </c>
      <c r="K82" s="1016">
        <v>0.56989999999999996</v>
      </c>
      <c r="L82" s="1016">
        <v>0.56989999999999996</v>
      </c>
      <c r="M82" s="1016">
        <v>0.56989999999999996</v>
      </c>
    </row>
    <row r="83" spans="1:13">
      <c r="A83" s="1007">
        <v>8.1</v>
      </c>
      <c r="B83" s="1016">
        <v>0.86099999999999999</v>
      </c>
      <c r="C83" s="1016">
        <v>0.86099999999999999</v>
      </c>
      <c r="D83" s="1016">
        <v>0.74850000000000005</v>
      </c>
      <c r="E83" s="1016">
        <v>0.74850000000000005</v>
      </c>
      <c r="F83" s="1016">
        <v>0.74850000000000005</v>
      </c>
      <c r="G83" s="1016">
        <v>0.74850000000000005</v>
      </c>
      <c r="H83" s="1016">
        <v>0.74850000000000005</v>
      </c>
      <c r="I83" s="1016">
        <v>0.56779999999999997</v>
      </c>
      <c r="J83" s="1016">
        <v>0.56779999999999997</v>
      </c>
      <c r="K83" s="1016">
        <v>0.56779999999999997</v>
      </c>
      <c r="L83" s="1016">
        <v>0.56779999999999997</v>
      </c>
      <c r="M83" s="1016">
        <v>0.56779999999999997</v>
      </c>
    </row>
    <row r="84" spans="1:13">
      <c r="A84" s="1007">
        <v>8.1999999999999993</v>
      </c>
      <c r="B84" s="1016">
        <v>0.85970000000000002</v>
      </c>
      <c r="C84" s="1016">
        <v>0.85970000000000002</v>
      </c>
      <c r="D84" s="1016">
        <v>0.747</v>
      </c>
      <c r="E84" s="1016">
        <v>0.747</v>
      </c>
      <c r="F84" s="1016">
        <v>0.747</v>
      </c>
      <c r="G84" s="1016">
        <v>0.747</v>
      </c>
      <c r="H84" s="1016">
        <v>0.747</v>
      </c>
      <c r="I84" s="1016">
        <v>0.56589999999999996</v>
      </c>
      <c r="J84" s="1016">
        <v>0.56589999999999996</v>
      </c>
      <c r="K84" s="1016">
        <v>0.56589999999999996</v>
      </c>
      <c r="L84" s="1016">
        <v>0.56589999999999996</v>
      </c>
      <c r="M84" s="1016">
        <v>0.56589999999999996</v>
      </c>
    </row>
    <row r="85" spans="1:13">
      <c r="A85" s="1007">
        <v>8.3000000000000007</v>
      </c>
      <c r="B85" s="1016">
        <v>0.85840000000000005</v>
      </c>
      <c r="C85" s="1016">
        <v>0.85840000000000005</v>
      </c>
      <c r="D85" s="1016">
        <v>0.74560000000000004</v>
      </c>
      <c r="E85" s="1016">
        <v>0.74560000000000004</v>
      </c>
      <c r="F85" s="1016">
        <v>0.74560000000000004</v>
      </c>
      <c r="G85" s="1016">
        <v>0.74560000000000004</v>
      </c>
      <c r="H85" s="1016">
        <v>0.74560000000000004</v>
      </c>
      <c r="I85" s="1016">
        <v>0.56389999999999996</v>
      </c>
      <c r="J85" s="1016">
        <v>0.56389999999999996</v>
      </c>
      <c r="K85" s="1016">
        <v>0.56389999999999996</v>
      </c>
      <c r="L85" s="1016">
        <v>0.56389999999999996</v>
      </c>
      <c r="M85" s="1016">
        <v>0.56389999999999996</v>
      </c>
    </row>
    <row r="86" spans="1:13">
      <c r="A86" s="1007">
        <v>8.4</v>
      </c>
      <c r="B86" s="1016">
        <v>0.85709999999999997</v>
      </c>
      <c r="C86" s="1016">
        <v>0.85709999999999997</v>
      </c>
      <c r="D86" s="1016">
        <v>0.74419999999999997</v>
      </c>
      <c r="E86" s="1016">
        <v>0.74419999999999997</v>
      </c>
      <c r="F86" s="1016">
        <v>0.74419999999999997</v>
      </c>
      <c r="G86" s="1016">
        <v>0.74419999999999997</v>
      </c>
      <c r="H86" s="1016">
        <v>0.74419999999999997</v>
      </c>
      <c r="I86" s="1016">
        <v>0.56189999999999996</v>
      </c>
      <c r="J86" s="1016">
        <v>0.56189999999999996</v>
      </c>
      <c r="K86" s="1016">
        <v>0.56189999999999996</v>
      </c>
      <c r="L86" s="1016">
        <v>0.56189999999999996</v>
      </c>
      <c r="M86" s="1016">
        <v>0.56189999999999996</v>
      </c>
    </row>
    <row r="87" spans="1:13">
      <c r="A87" s="1007">
        <v>8.5</v>
      </c>
      <c r="B87" s="1016">
        <v>0.85580000000000001</v>
      </c>
      <c r="C87" s="1016">
        <v>0.85580000000000001</v>
      </c>
      <c r="D87" s="1016">
        <v>0.74270000000000003</v>
      </c>
      <c r="E87" s="1016">
        <v>0.74270000000000003</v>
      </c>
      <c r="F87" s="1016">
        <v>0.74270000000000003</v>
      </c>
      <c r="G87" s="1016">
        <v>0.74270000000000003</v>
      </c>
      <c r="H87" s="1016">
        <v>0.74270000000000003</v>
      </c>
      <c r="I87" s="1016">
        <v>0.55989999999999995</v>
      </c>
      <c r="J87" s="1016">
        <v>0.55989999999999995</v>
      </c>
      <c r="K87" s="1016">
        <v>0.55989999999999995</v>
      </c>
      <c r="L87" s="1016">
        <v>0.55989999999999995</v>
      </c>
      <c r="M87" s="1016">
        <v>0.55989999999999995</v>
      </c>
    </row>
    <row r="88" spans="1:13">
      <c r="A88" s="1007">
        <v>8.6</v>
      </c>
      <c r="B88" s="1016">
        <v>0.85450000000000004</v>
      </c>
      <c r="C88" s="1016">
        <v>0.85450000000000004</v>
      </c>
      <c r="D88" s="1016">
        <v>0.74129999999999996</v>
      </c>
      <c r="E88" s="1016">
        <v>0.74129999999999996</v>
      </c>
      <c r="F88" s="1016">
        <v>0.74129999999999996</v>
      </c>
      <c r="G88" s="1016">
        <v>0.74129999999999996</v>
      </c>
      <c r="H88" s="1016">
        <v>0.74129999999999996</v>
      </c>
      <c r="I88" s="1016">
        <v>0.55800000000000005</v>
      </c>
      <c r="J88" s="1016">
        <v>0.55800000000000005</v>
      </c>
      <c r="K88" s="1016">
        <v>0.55800000000000005</v>
      </c>
      <c r="L88" s="1016">
        <v>0.55800000000000005</v>
      </c>
      <c r="M88" s="1016">
        <v>0.55800000000000005</v>
      </c>
    </row>
    <row r="89" spans="1:13">
      <c r="A89" s="1007">
        <v>8.6999999999999993</v>
      </c>
      <c r="B89" s="1016">
        <v>0.85329999999999995</v>
      </c>
      <c r="C89" s="1016">
        <v>0.85329999999999995</v>
      </c>
      <c r="D89" s="1016">
        <v>0.7399</v>
      </c>
      <c r="E89" s="1016">
        <v>0.7399</v>
      </c>
      <c r="F89" s="1016">
        <v>0.7399</v>
      </c>
      <c r="G89" s="1016">
        <v>0.7399</v>
      </c>
      <c r="H89" s="1016">
        <v>0.7399</v>
      </c>
      <c r="I89" s="1016">
        <v>0.55600000000000005</v>
      </c>
      <c r="J89" s="1016">
        <v>0.55600000000000005</v>
      </c>
      <c r="K89" s="1016">
        <v>0.55600000000000005</v>
      </c>
      <c r="L89" s="1016">
        <v>0.55600000000000005</v>
      </c>
      <c r="M89" s="1016">
        <v>0.55600000000000005</v>
      </c>
    </row>
    <row r="90" spans="1:13">
      <c r="A90" s="1007">
        <v>8.8000000000000007</v>
      </c>
      <c r="B90" s="1016">
        <v>0.85209999999999997</v>
      </c>
      <c r="C90" s="1016">
        <v>0.85209999999999997</v>
      </c>
      <c r="D90" s="1016">
        <v>0.73850000000000005</v>
      </c>
      <c r="E90" s="1016">
        <v>0.73850000000000005</v>
      </c>
      <c r="F90" s="1016">
        <v>0.73850000000000005</v>
      </c>
      <c r="G90" s="1016">
        <v>0.73850000000000005</v>
      </c>
      <c r="H90" s="1016">
        <v>0.73850000000000005</v>
      </c>
      <c r="I90" s="1016">
        <v>0.55420000000000003</v>
      </c>
      <c r="J90" s="1016">
        <v>0.55420000000000003</v>
      </c>
      <c r="K90" s="1016">
        <v>0.55420000000000003</v>
      </c>
      <c r="L90" s="1016">
        <v>0.55420000000000003</v>
      </c>
      <c r="M90" s="1016">
        <v>0.55420000000000003</v>
      </c>
    </row>
    <row r="91" spans="1:13">
      <c r="A91" s="1007">
        <v>8.9</v>
      </c>
      <c r="B91" s="1016">
        <v>0.85099999999999998</v>
      </c>
      <c r="C91" s="1016">
        <v>0.85099999999999998</v>
      </c>
      <c r="D91" s="1016">
        <v>0.73719999999999997</v>
      </c>
      <c r="E91" s="1016">
        <v>0.73719999999999997</v>
      </c>
      <c r="F91" s="1016">
        <v>0.73719999999999997</v>
      </c>
      <c r="G91" s="1016">
        <v>0.73719999999999997</v>
      </c>
      <c r="H91" s="1016">
        <v>0.73719999999999997</v>
      </c>
      <c r="I91" s="1016">
        <v>0.55230000000000001</v>
      </c>
      <c r="J91" s="1016">
        <v>0.55230000000000001</v>
      </c>
      <c r="K91" s="1016">
        <v>0.55230000000000001</v>
      </c>
      <c r="L91" s="1016">
        <v>0.55230000000000001</v>
      </c>
      <c r="M91" s="1016">
        <v>0.55230000000000001</v>
      </c>
    </row>
    <row r="92" spans="1:13">
      <c r="A92" s="1031">
        <v>9</v>
      </c>
      <c r="B92" s="1016">
        <v>0.8498</v>
      </c>
      <c r="C92" s="1016">
        <v>0.8498</v>
      </c>
      <c r="D92" s="1016">
        <v>0.7359</v>
      </c>
      <c r="E92" s="1016">
        <v>0.7359</v>
      </c>
      <c r="F92" s="1016">
        <v>0.7359</v>
      </c>
      <c r="G92" s="1016">
        <v>0.7359</v>
      </c>
      <c r="H92" s="1016">
        <v>0.7359</v>
      </c>
      <c r="I92" s="1016">
        <v>0.55049999999999999</v>
      </c>
      <c r="J92" s="1016">
        <v>0.55049999999999999</v>
      </c>
      <c r="K92" s="1016">
        <v>0.55049999999999999</v>
      </c>
      <c r="L92" s="1016">
        <v>0.55049999999999999</v>
      </c>
      <c r="M92" s="1016">
        <v>0.55049999999999999</v>
      </c>
    </row>
    <row r="93" spans="1:13">
      <c r="A93" s="1031">
        <v>9.1</v>
      </c>
      <c r="B93" s="1016">
        <v>0.84870000000000001</v>
      </c>
      <c r="C93" s="1016">
        <v>0.84870000000000001</v>
      </c>
      <c r="D93" s="1016">
        <v>0.73470000000000002</v>
      </c>
      <c r="E93" s="1016">
        <v>0.73470000000000002</v>
      </c>
      <c r="F93" s="1016">
        <v>0.73470000000000002</v>
      </c>
      <c r="G93" s="1016">
        <v>0.73470000000000002</v>
      </c>
      <c r="H93" s="1016">
        <v>0.73470000000000002</v>
      </c>
      <c r="I93" s="1016">
        <v>0.54879999999999995</v>
      </c>
      <c r="J93" s="1016">
        <v>0.54879999999999995</v>
      </c>
      <c r="K93" s="1016">
        <v>0.54879999999999995</v>
      </c>
      <c r="L93" s="1016">
        <v>0.54879999999999995</v>
      </c>
      <c r="M93" s="1016">
        <v>0.54879999999999995</v>
      </c>
    </row>
    <row r="94" spans="1:13">
      <c r="A94" s="1031">
        <v>9.1999999999999993</v>
      </c>
      <c r="B94" s="1016">
        <v>0.84770000000000001</v>
      </c>
      <c r="C94" s="1016">
        <v>0.84770000000000001</v>
      </c>
      <c r="D94" s="1016">
        <v>0.73350000000000004</v>
      </c>
      <c r="E94" s="1016">
        <v>0.73350000000000004</v>
      </c>
      <c r="F94" s="1016">
        <v>0.73350000000000004</v>
      </c>
      <c r="G94" s="1016">
        <v>0.73350000000000004</v>
      </c>
      <c r="H94" s="1016">
        <v>0.73350000000000004</v>
      </c>
      <c r="I94" s="1016">
        <v>0.54710000000000003</v>
      </c>
      <c r="J94" s="1016">
        <v>0.54710000000000003</v>
      </c>
      <c r="K94" s="1016">
        <v>0.54710000000000003</v>
      </c>
      <c r="L94" s="1016">
        <v>0.54710000000000003</v>
      </c>
      <c r="M94" s="1016">
        <v>0.54710000000000003</v>
      </c>
    </row>
    <row r="95" spans="1:13">
      <c r="A95" s="1031">
        <v>9.3000000000000007</v>
      </c>
      <c r="B95" s="1016">
        <v>0.84660000000000002</v>
      </c>
      <c r="C95" s="1016">
        <v>0.84660000000000002</v>
      </c>
      <c r="D95" s="1016">
        <v>0.73229999999999995</v>
      </c>
      <c r="E95" s="1016">
        <v>0.73229999999999995</v>
      </c>
      <c r="F95" s="1016">
        <v>0.73229999999999995</v>
      </c>
      <c r="G95" s="1016">
        <v>0.73229999999999995</v>
      </c>
      <c r="H95" s="1016">
        <v>0.73229999999999995</v>
      </c>
      <c r="I95" s="1016">
        <v>0.5454</v>
      </c>
      <c r="J95" s="1016">
        <v>0.5454</v>
      </c>
      <c r="K95" s="1016">
        <v>0.5454</v>
      </c>
      <c r="L95" s="1016">
        <v>0.5454</v>
      </c>
      <c r="M95" s="1016">
        <v>0.5454</v>
      </c>
    </row>
    <row r="96" spans="1:13">
      <c r="A96" s="1031">
        <v>9.4</v>
      </c>
      <c r="B96" s="1016">
        <v>0.84550000000000003</v>
      </c>
      <c r="C96" s="1016">
        <v>0.84550000000000003</v>
      </c>
      <c r="D96" s="1016">
        <v>0.73109999999999997</v>
      </c>
      <c r="E96" s="1016">
        <v>0.73109999999999997</v>
      </c>
      <c r="F96" s="1016">
        <v>0.73109999999999997</v>
      </c>
      <c r="G96" s="1016">
        <v>0.73109999999999997</v>
      </c>
      <c r="H96" s="1016">
        <v>0.73109999999999997</v>
      </c>
      <c r="I96" s="1016">
        <v>0.54369999999999996</v>
      </c>
      <c r="J96" s="1016">
        <v>0.54369999999999996</v>
      </c>
      <c r="K96" s="1016">
        <v>0.54369999999999996</v>
      </c>
      <c r="L96" s="1016">
        <v>0.54369999999999996</v>
      </c>
      <c r="M96" s="1016">
        <v>0.54369999999999996</v>
      </c>
    </row>
    <row r="97" spans="1:14">
      <c r="A97" s="1031">
        <v>9.5</v>
      </c>
      <c r="B97" s="1016">
        <v>0.84450000000000003</v>
      </c>
      <c r="C97" s="1016">
        <v>0.84450000000000003</v>
      </c>
      <c r="D97" s="1016">
        <v>0.72989999999999999</v>
      </c>
      <c r="E97" s="1016">
        <v>0.72989999999999999</v>
      </c>
      <c r="F97" s="1016">
        <v>0.72989999999999999</v>
      </c>
      <c r="G97" s="1016">
        <v>0.72989999999999999</v>
      </c>
      <c r="H97" s="1016">
        <v>0.72989999999999999</v>
      </c>
      <c r="I97" s="1016">
        <v>0.54200000000000004</v>
      </c>
      <c r="J97" s="1016">
        <v>0.54200000000000004</v>
      </c>
      <c r="K97" s="1016">
        <v>0.54200000000000004</v>
      </c>
      <c r="L97" s="1016">
        <v>0.54200000000000004</v>
      </c>
      <c r="M97" s="1016">
        <v>0.54200000000000004</v>
      </c>
    </row>
    <row r="98" spans="1:14">
      <c r="A98" s="1031">
        <v>9.6</v>
      </c>
      <c r="B98" s="1016">
        <v>0.84340000000000004</v>
      </c>
      <c r="C98" s="1016">
        <v>0.84340000000000004</v>
      </c>
      <c r="D98" s="1016">
        <v>0.72870000000000001</v>
      </c>
      <c r="E98" s="1016">
        <v>0.72870000000000001</v>
      </c>
      <c r="F98" s="1016">
        <v>0.72870000000000001</v>
      </c>
      <c r="G98" s="1016">
        <v>0.72870000000000001</v>
      </c>
      <c r="H98" s="1016">
        <v>0.72870000000000001</v>
      </c>
      <c r="I98" s="1016">
        <v>0.5403</v>
      </c>
      <c r="J98" s="1016">
        <v>0.5403</v>
      </c>
      <c r="K98" s="1016">
        <v>0.5403</v>
      </c>
      <c r="L98" s="1016">
        <v>0.5403</v>
      </c>
      <c r="M98" s="1016">
        <v>0.5403</v>
      </c>
    </row>
    <row r="99" spans="1:14">
      <c r="A99" s="1031">
        <v>9.6999999999999993</v>
      </c>
      <c r="B99" s="1016">
        <v>0.84230000000000005</v>
      </c>
      <c r="C99" s="1016">
        <v>0.84230000000000005</v>
      </c>
      <c r="D99" s="1016">
        <v>0.72750000000000004</v>
      </c>
      <c r="E99" s="1016">
        <v>0.72750000000000004</v>
      </c>
      <c r="F99" s="1016">
        <v>0.72750000000000004</v>
      </c>
      <c r="G99" s="1016">
        <v>0.72750000000000004</v>
      </c>
      <c r="H99" s="1016">
        <v>0.72750000000000004</v>
      </c>
      <c r="I99" s="1016">
        <v>0.53859999999999997</v>
      </c>
      <c r="J99" s="1016">
        <v>0.53859999999999997</v>
      </c>
      <c r="K99" s="1016">
        <v>0.53859999999999997</v>
      </c>
      <c r="L99" s="1016">
        <v>0.53859999999999997</v>
      </c>
      <c r="M99" s="1016">
        <v>0.53859999999999997</v>
      </c>
    </row>
    <row r="100" spans="1:14">
      <c r="A100" s="1031">
        <v>9.8000000000000007</v>
      </c>
      <c r="B100" s="1016">
        <v>0.84140000000000004</v>
      </c>
      <c r="C100" s="1016">
        <v>0.84140000000000004</v>
      </c>
      <c r="D100" s="1016">
        <v>0.72629999999999995</v>
      </c>
      <c r="E100" s="1016">
        <v>0.72629999999999995</v>
      </c>
      <c r="F100" s="1016">
        <v>0.72629999999999995</v>
      </c>
      <c r="G100" s="1016">
        <v>0.72629999999999995</v>
      </c>
      <c r="H100" s="1016">
        <v>0.72629999999999995</v>
      </c>
      <c r="I100" s="1016">
        <v>0.53710000000000002</v>
      </c>
      <c r="J100" s="1016">
        <v>0.53710000000000002</v>
      </c>
      <c r="K100" s="1016">
        <v>0.53710000000000002</v>
      </c>
      <c r="L100" s="1016">
        <v>0.53710000000000002</v>
      </c>
      <c r="M100" s="1016">
        <v>0.53710000000000002</v>
      </c>
    </row>
    <row r="101" spans="1:14">
      <c r="A101" s="1031">
        <v>9.9</v>
      </c>
      <c r="B101" s="1016">
        <v>0.84050000000000002</v>
      </c>
      <c r="C101" s="1016">
        <v>0.84050000000000002</v>
      </c>
      <c r="D101" s="1016">
        <v>0.72519999999999996</v>
      </c>
      <c r="E101" s="1016">
        <v>0.72519999999999996</v>
      </c>
      <c r="F101" s="1016">
        <v>0.72519999999999996</v>
      </c>
      <c r="G101" s="1016">
        <v>0.72519999999999996</v>
      </c>
      <c r="H101" s="1016">
        <v>0.72519999999999996</v>
      </c>
      <c r="I101" s="1016">
        <v>0.53549999999999998</v>
      </c>
      <c r="J101" s="1016">
        <v>0.53549999999999998</v>
      </c>
      <c r="K101" s="1016">
        <v>0.53549999999999998</v>
      </c>
      <c r="L101" s="1016">
        <v>0.53549999999999998</v>
      </c>
      <c r="M101" s="1016">
        <v>0.53549999999999998</v>
      </c>
    </row>
    <row r="102" spans="1:14">
      <c r="A102" s="1031">
        <v>10</v>
      </c>
      <c r="B102" s="1016">
        <v>0.83950000000000002</v>
      </c>
      <c r="C102" s="1016">
        <v>0.83950000000000002</v>
      </c>
      <c r="D102" s="1016">
        <v>0.72409999999999997</v>
      </c>
      <c r="E102" s="1016">
        <v>0.72409999999999997</v>
      </c>
      <c r="F102" s="1016">
        <v>0.72409999999999997</v>
      </c>
      <c r="G102" s="1016">
        <v>0.72409999999999997</v>
      </c>
      <c r="H102" s="1016">
        <v>0.72409999999999997</v>
      </c>
      <c r="I102" s="1016">
        <v>0.53400000000000003</v>
      </c>
      <c r="J102" s="1016">
        <v>0.53400000000000003</v>
      </c>
      <c r="K102" s="1016">
        <v>0.53400000000000003</v>
      </c>
      <c r="L102" s="1016">
        <v>0.53400000000000003</v>
      </c>
      <c r="M102" s="1016">
        <v>0.53400000000000003</v>
      </c>
    </row>
    <row r="103" spans="1:14" ht="14.25">
      <c r="A103" s="1004" t="s">
        <v>897</v>
      </c>
      <c r="B103" s="1005"/>
      <c r="C103" s="1005"/>
      <c r="D103" s="1005"/>
      <c r="E103" s="1005"/>
      <c r="F103" s="1005"/>
      <c r="G103" s="1005"/>
      <c r="H103" s="1005"/>
      <c r="I103" s="1005"/>
      <c r="J103" s="1005"/>
      <c r="K103" s="1005"/>
      <c r="L103" s="1005"/>
      <c r="M103" s="1005"/>
      <c r="N103" s="1005"/>
    </row>
    <row r="104" spans="1:14" ht="14.25">
      <c r="A104" s="1007" t="s">
        <v>876</v>
      </c>
      <c r="B104" s="1008" t="s">
        <v>877</v>
      </c>
      <c r="C104" s="1008" t="s">
        <v>878</v>
      </c>
      <c r="D104" s="1008" t="s">
        <v>879</v>
      </c>
      <c r="E104" s="1008" t="s">
        <v>880</v>
      </c>
      <c r="F104" s="1008" t="s">
        <v>881</v>
      </c>
      <c r="G104" s="1008" t="s">
        <v>882</v>
      </c>
      <c r="H104" s="1009" t="s">
        <v>883</v>
      </c>
      <c r="I104" s="1009" t="s">
        <v>884</v>
      </c>
      <c r="J104" s="1010" t="s">
        <v>885</v>
      </c>
      <c r="K104" s="1010" t="s">
        <v>886</v>
      </c>
      <c r="L104" s="1010" t="s">
        <v>887</v>
      </c>
      <c r="M104" s="1010" t="s">
        <v>888</v>
      </c>
      <c r="N104" s="1005">
        <f>SUMPRODUCT((A105:A204=ROUNDDOWN(基准地价!G3,1))*(B104:M104=基准地价!G2)*(B105:M204))</f>
        <v>0</v>
      </c>
    </row>
    <row r="105" spans="1:14">
      <c r="A105" s="1007">
        <v>0.1</v>
      </c>
      <c r="B105" s="1016">
        <v>13.733000000000001</v>
      </c>
      <c r="C105" s="1016">
        <v>13.733000000000001</v>
      </c>
      <c r="D105" s="1016">
        <v>12.787000000000001</v>
      </c>
      <c r="E105" s="1016">
        <v>12.787000000000001</v>
      </c>
      <c r="F105" s="1016">
        <v>12.787000000000001</v>
      </c>
      <c r="G105" s="1016">
        <v>12.787000000000001</v>
      </c>
      <c r="H105" s="1016">
        <v>12.787000000000001</v>
      </c>
      <c r="I105" s="1016">
        <v>12.384</v>
      </c>
      <c r="J105" s="1016">
        <v>12.384</v>
      </c>
      <c r="K105" s="1016">
        <v>12.384</v>
      </c>
      <c r="L105" s="1016">
        <v>12.384</v>
      </c>
      <c r="M105" s="1016">
        <v>12.384</v>
      </c>
    </row>
    <row r="106" spans="1:14">
      <c r="A106" s="1007">
        <v>0.2</v>
      </c>
      <c r="B106" s="1016">
        <v>6.8665000000000003</v>
      </c>
      <c r="C106" s="1016">
        <v>6.8665000000000003</v>
      </c>
      <c r="D106" s="1016">
        <v>6.3935000000000004</v>
      </c>
      <c r="E106" s="1016">
        <v>6.3935000000000004</v>
      </c>
      <c r="F106" s="1016">
        <v>6.3935000000000004</v>
      </c>
      <c r="G106" s="1016">
        <v>6.3935000000000004</v>
      </c>
      <c r="H106" s="1016">
        <v>6.3935000000000004</v>
      </c>
      <c r="I106" s="1016">
        <v>6.1920000000000002</v>
      </c>
      <c r="J106" s="1016">
        <v>6.1920000000000002</v>
      </c>
      <c r="K106" s="1016">
        <v>6.1920000000000002</v>
      </c>
      <c r="L106" s="1016">
        <v>6.1920000000000002</v>
      </c>
      <c r="M106" s="1016">
        <v>6.1920000000000002</v>
      </c>
    </row>
    <row r="107" spans="1:14">
      <c r="A107" s="1007">
        <v>0.3</v>
      </c>
      <c r="B107" s="1016">
        <v>4.5777000000000001</v>
      </c>
      <c r="C107" s="1016">
        <v>4.5777000000000001</v>
      </c>
      <c r="D107" s="1016">
        <v>4.2622999999999998</v>
      </c>
      <c r="E107" s="1016">
        <v>4.2622999999999998</v>
      </c>
      <c r="F107" s="1016">
        <v>4.2622999999999998</v>
      </c>
      <c r="G107" s="1016">
        <v>4.2622999999999998</v>
      </c>
      <c r="H107" s="1016">
        <v>4.2622999999999998</v>
      </c>
      <c r="I107" s="1016">
        <v>4.1280000000000001</v>
      </c>
      <c r="J107" s="1016">
        <v>4.1280000000000001</v>
      </c>
      <c r="K107" s="1016">
        <v>4.1280000000000001</v>
      </c>
      <c r="L107" s="1016">
        <v>4.1280000000000001</v>
      </c>
      <c r="M107" s="1016">
        <v>4.1280000000000001</v>
      </c>
    </row>
    <row r="108" spans="1:14">
      <c r="A108" s="1007">
        <v>0.4</v>
      </c>
      <c r="B108" s="1016">
        <v>3.4333</v>
      </c>
      <c r="C108" s="1016">
        <v>3.4333</v>
      </c>
      <c r="D108" s="1016">
        <v>3.1968000000000001</v>
      </c>
      <c r="E108" s="1016">
        <v>3.1968000000000001</v>
      </c>
      <c r="F108" s="1016">
        <v>3.1968000000000001</v>
      </c>
      <c r="G108" s="1016">
        <v>3.1968000000000001</v>
      </c>
      <c r="H108" s="1016">
        <v>3.1968000000000001</v>
      </c>
      <c r="I108" s="1016">
        <v>3.0960000000000001</v>
      </c>
      <c r="J108" s="1016">
        <v>3.0960000000000001</v>
      </c>
      <c r="K108" s="1016">
        <v>3.0960000000000001</v>
      </c>
      <c r="L108" s="1016">
        <v>3.0960000000000001</v>
      </c>
      <c r="M108" s="1016">
        <v>3.0960000000000001</v>
      </c>
    </row>
    <row r="109" spans="1:14">
      <c r="A109" s="1007">
        <v>0.5</v>
      </c>
      <c r="B109" s="1016">
        <v>2.7465999999999999</v>
      </c>
      <c r="C109" s="1016">
        <v>2.7465999999999999</v>
      </c>
      <c r="D109" s="1016">
        <v>2.5573999999999999</v>
      </c>
      <c r="E109" s="1016">
        <v>2.5573999999999999</v>
      </c>
      <c r="F109" s="1016">
        <v>2.5573999999999999</v>
      </c>
      <c r="G109" s="1016">
        <v>2.5573999999999999</v>
      </c>
      <c r="H109" s="1016">
        <v>2.5573999999999999</v>
      </c>
      <c r="I109" s="1016">
        <v>2.4767999999999999</v>
      </c>
      <c r="J109" s="1016">
        <v>2.4767999999999999</v>
      </c>
      <c r="K109" s="1016">
        <v>2.4767999999999999</v>
      </c>
      <c r="L109" s="1016">
        <v>2.4767999999999999</v>
      </c>
      <c r="M109" s="1016">
        <v>2.4767999999999999</v>
      </c>
    </row>
    <row r="110" spans="1:14">
      <c r="A110" s="1007">
        <v>0.6</v>
      </c>
      <c r="B110" s="1016">
        <v>2.2888000000000002</v>
      </c>
      <c r="C110" s="1016">
        <v>2.2888000000000002</v>
      </c>
      <c r="D110" s="1016">
        <v>2.1312000000000002</v>
      </c>
      <c r="E110" s="1016">
        <v>2.1312000000000002</v>
      </c>
      <c r="F110" s="1016">
        <v>2.1312000000000002</v>
      </c>
      <c r="G110" s="1016">
        <v>2.1312000000000002</v>
      </c>
      <c r="H110" s="1016">
        <v>2.1312000000000002</v>
      </c>
      <c r="I110" s="1016">
        <v>2.0640000000000001</v>
      </c>
      <c r="J110" s="1016">
        <v>2.0640000000000001</v>
      </c>
      <c r="K110" s="1016">
        <v>2.0640000000000001</v>
      </c>
      <c r="L110" s="1016">
        <v>2.0640000000000001</v>
      </c>
      <c r="M110" s="1016">
        <v>2.0640000000000001</v>
      </c>
    </row>
    <row r="111" spans="1:14">
      <c r="A111" s="1007">
        <v>0.7</v>
      </c>
      <c r="B111" s="1016">
        <v>1.9619</v>
      </c>
      <c r="C111" s="1016">
        <v>1.9619</v>
      </c>
      <c r="D111" s="1016">
        <v>1.8267</v>
      </c>
      <c r="E111" s="1016">
        <v>1.8267</v>
      </c>
      <c r="F111" s="1016">
        <v>1.8267</v>
      </c>
      <c r="G111" s="1016">
        <v>1.8267</v>
      </c>
      <c r="H111" s="1016">
        <v>1.8267</v>
      </c>
      <c r="I111" s="1016">
        <v>1.7690999999999999</v>
      </c>
      <c r="J111" s="1016">
        <v>1.7690999999999999</v>
      </c>
      <c r="K111" s="1016">
        <v>1.7690999999999999</v>
      </c>
      <c r="L111" s="1016">
        <v>1.7690999999999999</v>
      </c>
      <c r="M111" s="1016">
        <v>1.7690999999999999</v>
      </c>
    </row>
    <row r="112" spans="1:14">
      <c r="A112" s="1007">
        <v>0.8</v>
      </c>
      <c r="B112" s="1016">
        <v>1.7165999999999999</v>
      </c>
      <c r="C112" s="1016">
        <v>1.7165999999999999</v>
      </c>
      <c r="D112" s="1016">
        <v>1.5984</v>
      </c>
      <c r="E112" s="1016">
        <v>1.5984</v>
      </c>
      <c r="F112" s="1016">
        <v>1.5984</v>
      </c>
      <c r="G112" s="1016">
        <v>1.5984</v>
      </c>
      <c r="H112" s="1016">
        <v>1.5984</v>
      </c>
      <c r="I112" s="1016">
        <v>1.548</v>
      </c>
      <c r="J112" s="1016">
        <v>1.548</v>
      </c>
      <c r="K112" s="1016">
        <v>1.548</v>
      </c>
      <c r="L112" s="1016">
        <v>1.548</v>
      </c>
      <c r="M112" s="1016">
        <v>1.548</v>
      </c>
    </row>
    <row r="113" spans="1:13">
      <c r="A113" s="1007">
        <v>0.9</v>
      </c>
      <c r="B113" s="1016">
        <v>1.5259</v>
      </c>
      <c r="C113" s="1016">
        <v>1.5259</v>
      </c>
      <c r="D113" s="1016">
        <v>1.4208000000000001</v>
      </c>
      <c r="E113" s="1016">
        <v>1.4208000000000001</v>
      </c>
      <c r="F113" s="1016">
        <v>1.4208000000000001</v>
      </c>
      <c r="G113" s="1016">
        <v>1.4208000000000001</v>
      </c>
      <c r="H113" s="1016">
        <v>1.4208000000000001</v>
      </c>
      <c r="I113" s="1016">
        <v>1.3759999999999999</v>
      </c>
      <c r="J113" s="1016">
        <v>1.3759999999999999</v>
      </c>
      <c r="K113" s="1016">
        <v>1.3759999999999999</v>
      </c>
      <c r="L113" s="1016">
        <v>1.3759999999999999</v>
      </c>
      <c r="M113" s="1016">
        <v>1.3759999999999999</v>
      </c>
    </row>
    <row r="114" spans="1:13">
      <c r="A114" s="1007">
        <v>1</v>
      </c>
      <c r="B114" s="1016">
        <v>1.3733</v>
      </c>
      <c r="C114" s="1016">
        <v>1.3733</v>
      </c>
      <c r="D114" s="1016">
        <v>1.2786999999999999</v>
      </c>
      <c r="E114" s="1016">
        <v>1.2786999999999999</v>
      </c>
      <c r="F114" s="1016">
        <v>1.2786999999999999</v>
      </c>
      <c r="G114" s="1016">
        <v>1.2786999999999999</v>
      </c>
      <c r="H114" s="1016">
        <v>1.2786999999999999</v>
      </c>
      <c r="I114" s="1016">
        <v>1.2383999999999999</v>
      </c>
      <c r="J114" s="1016">
        <v>1.2383999999999999</v>
      </c>
      <c r="K114" s="1016">
        <v>1.2383999999999999</v>
      </c>
      <c r="L114" s="1016">
        <v>1.2383999999999999</v>
      </c>
      <c r="M114" s="1016">
        <v>1.2383999999999999</v>
      </c>
    </row>
    <row r="115" spans="1:13">
      <c r="A115" s="1007">
        <v>1.1000000000000001</v>
      </c>
      <c r="B115" s="1016">
        <v>1.3489</v>
      </c>
      <c r="C115" s="1016">
        <v>1.3489</v>
      </c>
      <c r="D115" s="1016">
        <v>1.2542</v>
      </c>
      <c r="E115" s="1016">
        <v>1.2542</v>
      </c>
      <c r="F115" s="1016">
        <v>1.2542</v>
      </c>
      <c r="G115" s="1016">
        <v>1.2542</v>
      </c>
      <c r="H115" s="1016">
        <v>1.2542</v>
      </c>
      <c r="I115" s="1016">
        <v>1.2050000000000001</v>
      </c>
      <c r="J115" s="1016">
        <v>1.2050000000000001</v>
      </c>
      <c r="K115" s="1016">
        <v>1.2050000000000001</v>
      </c>
      <c r="L115" s="1016">
        <v>1.2050000000000001</v>
      </c>
      <c r="M115" s="1016">
        <v>1.2050000000000001</v>
      </c>
    </row>
    <row r="116" spans="1:13">
      <c r="A116" s="1007">
        <v>1.2</v>
      </c>
      <c r="B116" s="1016">
        <v>1.3255999999999999</v>
      </c>
      <c r="C116" s="1016">
        <v>1.3255999999999999</v>
      </c>
      <c r="D116" s="1016">
        <v>1.2305999999999999</v>
      </c>
      <c r="E116" s="1016">
        <v>1.2305999999999999</v>
      </c>
      <c r="F116" s="1016">
        <v>1.2305999999999999</v>
      </c>
      <c r="G116" s="1016">
        <v>1.2305999999999999</v>
      </c>
      <c r="H116" s="1016">
        <v>1.2305999999999999</v>
      </c>
      <c r="I116" s="1016">
        <v>1.1741999999999999</v>
      </c>
      <c r="J116" s="1016">
        <v>1.1741999999999999</v>
      </c>
      <c r="K116" s="1016">
        <v>1.1741999999999999</v>
      </c>
      <c r="L116" s="1016">
        <v>1.1741999999999999</v>
      </c>
      <c r="M116" s="1016">
        <v>1.1741999999999999</v>
      </c>
    </row>
    <row r="117" spans="1:13">
      <c r="A117" s="1007">
        <v>1.3</v>
      </c>
      <c r="B117" s="1016">
        <v>1.3032999999999999</v>
      </c>
      <c r="C117" s="1016">
        <v>1.3032999999999999</v>
      </c>
      <c r="D117" s="1016">
        <v>1.2079</v>
      </c>
      <c r="E117" s="1016">
        <v>1.2079</v>
      </c>
      <c r="F117" s="1016">
        <v>1.2079</v>
      </c>
      <c r="G117" s="1016">
        <v>1.2079</v>
      </c>
      <c r="H117" s="1016">
        <v>1.2079</v>
      </c>
      <c r="I117" s="1016">
        <v>1.1459999999999999</v>
      </c>
      <c r="J117" s="1016">
        <v>1.1459999999999999</v>
      </c>
      <c r="K117" s="1016">
        <v>1.1459999999999999</v>
      </c>
      <c r="L117" s="1016">
        <v>1.1459999999999999</v>
      </c>
      <c r="M117" s="1016">
        <v>1.1459999999999999</v>
      </c>
    </row>
    <row r="118" spans="1:13">
      <c r="A118" s="1007">
        <v>1.4</v>
      </c>
      <c r="B118" s="1016">
        <v>1.282</v>
      </c>
      <c r="C118" s="1016">
        <v>1.282</v>
      </c>
      <c r="D118" s="1016">
        <v>1.1861999999999999</v>
      </c>
      <c r="E118" s="1016">
        <v>1.1861999999999999</v>
      </c>
      <c r="F118" s="1016">
        <v>1.1861999999999999</v>
      </c>
      <c r="G118" s="1016">
        <v>1.1861999999999999</v>
      </c>
      <c r="H118" s="1016">
        <v>1.1861999999999999</v>
      </c>
      <c r="I118" s="1016">
        <v>1.1200000000000001</v>
      </c>
      <c r="J118" s="1016">
        <v>1.1200000000000001</v>
      </c>
      <c r="K118" s="1016">
        <v>1.1200000000000001</v>
      </c>
      <c r="L118" s="1016">
        <v>1.1200000000000001</v>
      </c>
      <c r="M118" s="1016">
        <v>1.1200000000000001</v>
      </c>
    </row>
    <row r="119" spans="1:13">
      <c r="A119" s="1007">
        <v>1.5</v>
      </c>
      <c r="B119" s="1016">
        <v>1.2617</v>
      </c>
      <c r="C119" s="1016">
        <v>1.2617</v>
      </c>
      <c r="D119" s="1016">
        <v>1.1653</v>
      </c>
      <c r="E119" s="1016">
        <v>1.1653</v>
      </c>
      <c r="F119" s="1016">
        <v>1.1653</v>
      </c>
      <c r="G119" s="1016">
        <v>1.1653</v>
      </c>
      <c r="H119" s="1016">
        <v>1.1653</v>
      </c>
      <c r="I119" s="1016">
        <v>1.0961000000000001</v>
      </c>
      <c r="J119" s="1016">
        <v>1.0961000000000001</v>
      </c>
      <c r="K119" s="1016">
        <v>1.0961000000000001</v>
      </c>
      <c r="L119" s="1016">
        <v>1.0961000000000001</v>
      </c>
      <c r="M119" s="1016">
        <v>1.0961000000000001</v>
      </c>
    </row>
    <row r="120" spans="1:13">
      <c r="A120" s="1007">
        <v>1.6</v>
      </c>
      <c r="B120" s="1016">
        <v>1.2423</v>
      </c>
      <c r="C120" s="1016">
        <v>1.2423</v>
      </c>
      <c r="D120" s="1016">
        <v>1.1453</v>
      </c>
      <c r="E120" s="1016">
        <v>1.1453</v>
      </c>
      <c r="F120" s="1016">
        <v>1.1453</v>
      </c>
      <c r="G120" s="1016">
        <v>1.1453</v>
      </c>
      <c r="H120" s="1016">
        <v>1.1453</v>
      </c>
      <c r="I120" s="1016">
        <v>1.0740000000000001</v>
      </c>
      <c r="J120" s="1016">
        <v>1.0740000000000001</v>
      </c>
      <c r="K120" s="1016">
        <v>1.0740000000000001</v>
      </c>
      <c r="L120" s="1016">
        <v>1.0740000000000001</v>
      </c>
      <c r="M120" s="1016">
        <v>1.0740000000000001</v>
      </c>
    </row>
    <row r="121" spans="1:13">
      <c r="A121" s="1007">
        <v>1.7</v>
      </c>
      <c r="B121" s="1016">
        <v>1.2237</v>
      </c>
      <c r="C121" s="1016">
        <v>1.2237</v>
      </c>
      <c r="D121" s="1016">
        <v>1.1261000000000001</v>
      </c>
      <c r="E121" s="1016">
        <v>1.1261000000000001</v>
      </c>
      <c r="F121" s="1016">
        <v>1.1261000000000001</v>
      </c>
      <c r="G121" s="1016">
        <v>1.1261000000000001</v>
      </c>
      <c r="H121" s="1016">
        <v>1.1261000000000001</v>
      </c>
      <c r="I121" s="1016">
        <v>1.0535000000000001</v>
      </c>
      <c r="J121" s="1016">
        <v>1.0535000000000001</v>
      </c>
      <c r="K121" s="1016">
        <v>1.0535000000000001</v>
      </c>
      <c r="L121" s="1016">
        <v>1.0535000000000001</v>
      </c>
      <c r="M121" s="1016">
        <v>1.0535000000000001</v>
      </c>
    </row>
    <row r="122" spans="1:13">
      <c r="A122" s="1007">
        <v>1.8</v>
      </c>
      <c r="B122" s="1016">
        <v>1.206</v>
      </c>
      <c r="C122" s="1016">
        <v>1.206</v>
      </c>
      <c r="D122" s="1016">
        <v>1.1076999999999999</v>
      </c>
      <c r="E122" s="1016">
        <v>1.1076999999999999</v>
      </c>
      <c r="F122" s="1016">
        <v>1.1076999999999999</v>
      </c>
      <c r="G122" s="1016">
        <v>1.1076999999999999</v>
      </c>
      <c r="H122" s="1016">
        <v>1.1076999999999999</v>
      </c>
      <c r="I122" s="1016">
        <v>1.0345</v>
      </c>
      <c r="J122" s="1016">
        <v>1.0345</v>
      </c>
      <c r="K122" s="1016">
        <v>1.0345</v>
      </c>
      <c r="L122" s="1016">
        <v>1.0345</v>
      </c>
      <c r="M122" s="1016">
        <v>1.0345</v>
      </c>
    </row>
    <row r="123" spans="1:13">
      <c r="A123" s="1007">
        <v>1.9</v>
      </c>
      <c r="B123" s="1016">
        <v>1.1891</v>
      </c>
      <c r="C123" s="1016">
        <v>1.1891</v>
      </c>
      <c r="D123" s="1016">
        <v>1.0901000000000001</v>
      </c>
      <c r="E123" s="1016">
        <v>1.0901000000000001</v>
      </c>
      <c r="F123" s="1016">
        <v>1.0901000000000001</v>
      </c>
      <c r="G123" s="1016">
        <v>1.0901000000000001</v>
      </c>
      <c r="H123" s="1016">
        <v>1.0901000000000001</v>
      </c>
      <c r="I123" s="1016">
        <v>1.0166999999999999</v>
      </c>
      <c r="J123" s="1016">
        <v>1.0166999999999999</v>
      </c>
      <c r="K123" s="1016">
        <v>1.0166999999999999</v>
      </c>
      <c r="L123" s="1016">
        <v>1.0166999999999999</v>
      </c>
      <c r="M123" s="1016">
        <v>1.0166999999999999</v>
      </c>
    </row>
    <row r="124" spans="1:13">
      <c r="A124" s="1007">
        <v>2</v>
      </c>
      <c r="B124" s="1016">
        <v>1.1729000000000001</v>
      </c>
      <c r="C124" s="1016">
        <v>1.1729000000000001</v>
      </c>
      <c r="D124" s="1016">
        <v>1.0732999999999999</v>
      </c>
      <c r="E124" s="1016">
        <v>1.0732999999999999</v>
      </c>
      <c r="F124" s="1016">
        <v>1.0732999999999999</v>
      </c>
      <c r="G124" s="1016">
        <v>1.0732999999999999</v>
      </c>
      <c r="H124" s="1016">
        <v>1.0732999999999999</v>
      </c>
      <c r="I124" s="1016">
        <v>1</v>
      </c>
      <c r="J124" s="1016">
        <v>1</v>
      </c>
      <c r="K124" s="1016">
        <v>1</v>
      </c>
      <c r="L124" s="1016">
        <v>1</v>
      </c>
      <c r="M124" s="1016">
        <v>1</v>
      </c>
    </row>
    <row r="125" spans="1:13">
      <c r="A125" s="1031">
        <v>2.1</v>
      </c>
      <c r="B125" s="1016">
        <v>1.1574</v>
      </c>
      <c r="C125" s="1016">
        <v>1.1574</v>
      </c>
      <c r="D125" s="1016">
        <v>1.0571999999999999</v>
      </c>
      <c r="E125" s="1016">
        <v>1.0571999999999999</v>
      </c>
      <c r="F125" s="1016">
        <v>1.0571999999999999</v>
      </c>
      <c r="G125" s="1016">
        <v>1.0571999999999999</v>
      </c>
      <c r="H125" s="1016">
        <v>1.0571999999999999</v>
      </c>
      <c r="I125" s="1016">
        <v>0.98409999999999997</v>
      </c>
      <c r="J125" s="1016">
        <v>0.98409999999999997</v>
      </c>
      <c r="K125" s="1016">
        <v>0.98409999999999997</v>
      </c>
      <c r="L125" s="1016">
        <v>0.98409999999999997</v>
      </c>
      <c r="M125" s="1016">
        <v>0.98409999999999997</v>
      </c>
    </row>
    <row r="126" spans="1:13">
      <c r="A126" s="1031">
        <v>2.2000000000000002</v>
      </c>
      <c r="B126" s="1016">
        <v>1.1426000000000001</v>
      </c>
      <c r="C126" s="1016">
        <v>1.1426000000000001</v>
      </c>
      <c r="D126" s="1016">
        <v>1.0419</v>
      </c>
      <c r="E126" s="1016">
        <v>1.0419</v>
      </c>
      <c r="F126" s="1016">
        <v>1.0419</v>
      </c>
      <c r="G126" s="1016">
        <v>1.0419</v>
      </c>
      <c r="H126" s="1016">
        <v>1.0419</v>
      </c>
      <c r="I126" s="1016">
        <v>0.96889999999999998</v>
      </c>
      <c r="J126" s="1016">
        <v>0.96889999999999998</v>
      </c>
      <c r="K126" s="1016">
        <v>0.96889999999999998</v>
      </c>
      <c r="L126" s="1016">
        <v>0.96889999999999998</v>
      </c>
      <c r="M126" s="1016">
        <v>0.96889999999999998</v>
      </c>
    </row>
    <row r="127" spans="1:13">
      <c r="A127" s="1031">
        <v>2.2999999999999998</v>
      </c>
      <c r="B127" s="1016">
        <v>1.1285000000000001</v>
      </c>
      <c r="C127" s="1016">
        <v>1.1285000000000001</v>
      </c>
      <c r="D127" s="1016">
        <v>1.0271999999999999</v>
      </c>
      <c r="E127" s="1016">
        <v>1.0271999999999999</v>
      </c>
      <c r="F127" s="1016">
        <v>1.0271999999999999</v>
      </c>
      <c r="G127" s="1016">
        <v>1.0271999999999999</v>
      </c>
      <c r="H127" s="1016">
        <v>1.0271999999999999</v>
      </c>
      <c r="I127" s="1016">
        <v>0.95440000000000003</v>
      </c>
      <c r="J127" s="1016">
        <v>0.95440000000000003</v>
      </c>
      <c r="K127" s="1016">
        <v>0.95440000000000003</v>
      </c>
      <c r="L127" s="1016">
        <v>0.95440000000000003</v>
      </c>
      <c r="M127" s="1016">
        <v>0.95440000000000003</v>
      </c>
    </row>
    <row r="128" spans="1:13">
      <c r="A128" s="1031">
        <v>2.4</v>
      </c>
      <c r="B128" s="1016">
        <v>1.1149</v>
      </c>
      <c r="C128" s="1016">
        <v>1.1149</v>
      </c>
      <c r="D128" s="1016">
        <v>1.0133000000000001</v>
      </c>
      <c r="E128" s="1016">
        <v>1.0133000000000001</v>
      </c>
      <c r="F128" s="1016">
        <v>1.0133000000000001</v>
      </c>
      <c r="G128" s="1016">
        <v>1.0133000000000001</v>
      </c>
      <c r="H128" s="1016">
        <v>1.0133000000000001</v>
      </c>
      <c r="I128" s="1016">
        <v>0.9405</v>
      </c>
      <c r="J128" s="1016">
        <v>0.9405</v>
      </c>
      <c r="K128" s="1016">
        <v>0.9405</v>
      </c>
      <c r="L128" s="1016">
        <v>0.9405</v>
      </c>
      <c r="M128" s="1016">
        <v>0.9405</v>
      </c>
    </row>
    <row r="129" spans="1:13">
      <c r="A129" s="1031">
        <v>2.5</v>
      </c>
      <c r="B129" s="1016">
        <v>1.1020000000000001</v>
      </c>
      <c r="C129" s="1016">
        <v>1.1020000000000001</v>
      </c>
      <c r="D129" s="1016">
        <v>1</v>
      </c>
      <c r="E129" s="1016">
        <v>1</v>
      </c>
      <c r="F129" s="1016">
        <v>1</v>
      </c>
      <c r="G129" s="1016">
        <v>1</v>
      </c>
      <c r="H129" s="1016">
        <v>1</v>
      </c>
      <c r="I129" s="1016">
        <v>0.92730000000000001</v>
      </c>
      <c r="J129" s="1016">
        <v>0.92730000000000001</v>
      </c>
      <c r="K129" s="1016">
        <v>0.92730000000000001</v>
      </c>
      <c r="L129" s="1016">
        <v>0.92730000000000001</v>
      </c>
      <c r="M129" s="1016">
        <v>0.92730000000000001</v>
      </c>
    </row>
    <row r="130" spans="1:13">
      <c r="A130" s="1031">
        <v>2.6</v>
      </c>
      <c r="B130" s="1016">
        <v>1.0895999999999999</v>
      </c>
      <c r="C130" s="1016">
        <v>1.0895999999999999</v>
      </c>
      <c r="D130" s="1016">
        <v>0.98740000000000006</v>
      </c>
      <c r="E130" s="1016">
        <v>0.98740000000000006</v>
      </c>
      <c r="F130" s="1016">
        <v>0.98740000000000006</v>
      </c>
      <c r="G130" s="1016">
        <v>0.98740000000000006</v>
      </c>
      <c r="H130" s="1016">
        <v>0.98740000000000006</v>
      </c>
      <c r="I130" s="1016">
        <v>0.91469999999999996</v>
      </c>
      <c r="J130" s="1016">
        <v>0.91469999999999996</v>
      </c>
      <c r="K130" s="1016">
        <v>0.91469999999999996</v>
      </c>
      <c r="L130" s="1016">
        <v>0.91469999999999996</v>
      </c>
      <c r="M130" s="1016">
        <v>0.91469999999999996</v>
      </c>
    </row>
    <row r="131" spans="1:13">
      <c r="A131" s="1031">
        <v>2.7</v>
      </c>
      <c r="B131" s="1016">
        <v>1.0778000000000001</v>
      </c>
      <c r="C131" s="1016">
        <v>1.0778000000000001</v>
      </c>
      <c r="D131" s="1016">
        <v>0.97540000000000004</v>
      </c>
      <c r="E131" s="1016">
        <v>0.97540000000000004</v>
      </c>
      <c r="F131" s="1016">
        <v>0.97540000000000004</v>
      </c>
      <c r="G131" s="1016">
        <v>0.97540000000000004</v>
      </c>
      <c r="H131" s="1016">
        <v>0.97540000000000004</v>
      </c>
      <c r="I131" s="1016">
        <v>0.90269999999999995</v>
      </c>
      <c r="J131" s="1016">
        <v>0.90269999999999995</v>
      </c>
      <c r="K131" s="1016">
        <v>0.90269999999999995</v>
      </c>
      <c r="L131" s="1016">
        <v>0.90269999999999995</v>
      </c>
      <c r="M131" s="1016">
        <v>0.90269999999999995</v>
      </c>
    </row>
    <row r="132" spans="1:13">
      <c r="A132" s="1031">
        <v>2.8</v>
      </c>
      <c r="B132" s="1016">
        <v>1.0665</v>
      </c>
      <c r="C132" s="1016">
        <v>1.0665</v>
      </c>
      <c r="D132" s="1016">
        <v>0.96399999999999997</v>
      </c>
      <c r="E132" s="1016">
        <v>0.96399999999999997</v>
      </c>
      <c r="F132" s="1016">
        <v>0.96399999999999997</v>
      </c>
      <c r="G132" s="1016">
        <v>0.96399999999999997</v>
      </c>
      <c r="H132" s="1016">
        <v>0.96399999999999997</v>
      </c>
      <c r="I132" s="1016">
        <v>0.89119999999999999</v>
      </c>
      <c r="J132" s="1016">
        <v>0.89119999999999999</v>
      </c>
      <c r="K132" s="1016">
        <v>0.89119999999999999</v>
      </c>
      <c r="L132" s="1016">
        <v>0.89119999999999999</v>
      </c>
      <c r="M132" s="1016">
        <v>0.89119999999999999</v>
      </c>
    </row>
    <row r="133" spans="1:13">
      <c r="A133" s="1031">
        <v>2.9</v>
      </c>
      <c r="B133" s="1016">
        <v>1.0556000000000001</v>
      </c>
      <c r="C133" s="1016">
        <v>1.0556000000000001</v>
      </c>
      <c r="D133" s="1016">
        <v>0.95330000000000004</v>
      </c>
      <c r="E133" s="1016">
        <v>0.95330000000000004</v>
      </c>
      <c r="F133" s="1016">
        <v>0.95330000000000004</v>
      </c>
      <c r="G133" s="1016">
        <v>0.95330000000000004</v>
      </c>
      <c r="H133" s="1016">
        <v>0.95330000000000004</v>
      </c>
      <c r="I133" s="1016">
        <v>0.88019999999999998</v>
      </c>
      <c r="J133" s="1016">
        <v>0.88019999999999998</v>
      </c>
      <c r="K133" s="1016">
        <v>0.88019999999999998</v>
      </c>
      <c r="L133" s="1016">
        <v>0.88019999999999998</v>
      </c>
      <c r="M133" s="1016">
        <v>0.88019999999999998</v>
      </c>
    </row>
    <row r="134" spans="1:13">
      <c r="A134" s="1031">
        <v>3</v>
      </c>
      <c r="B134" s="1016">
        <v>1.0452999999999999</v>
      </c>
      <c r="C134" s="1016">
        <v>1.0452999999999999</v>
      </c>
      <c r="D134" s="1016">
        <v>0.94299999999999995</v>
      </c>
      <c r="E134" s="1016">
        <v>0.94299999999999995</v>
      </c>
      <c r="F134" s="1016">
        <v>0.94299999999999995</v>
      </c>
      <c r="G134" s="1016">
        <v>0.94299999999999995</v>
      </c>
      <c r="H134" s="1016">
        <v>0.94299999999999995</v>
      </c>
      <c r="I134" s="1016">
        <v>0.86970000000000003</v>
      </c>
      <c r="J134" s="1016">
        <v>0.86970000000000003</v>
      </c>
      <c r="K134" s="1016">
        <v>0.86970000000000003</v>
      </c>
      <c r="L134" s="1016">
        <v>0.86970000000000003</v>
      </c>
      <c r="M134" s="1016">
        <v>0.86970000000000003</v>
      </c>
    </row>
    <row r="135" spans="1:13">
      <c r="A135" s="1031">
        <v>3.1</v>
      </c>
      <c r="B135" s="1016">
        <v>1.0354000000000001</v>
      </c>
      <c r="C135" s="1016">
        <v>1.0354000000000001</v>
      </c>
      <c r="D135" s="1016">
        <v>0.93330000000000002</v>
      </c>
      <c r="E135" s="1016">
        <v>0.93330000000000002</v>
      </c>
      <c r="F135" s="1016">
        <v>0.93330000000000002</v>
      </c>
      <c r="G135" s="1016">
        <v>0.93330000000000002</v>
      </c>
      <c r="H135" s="1016">
        <v>0.93330000000000002</v>
      </c>
      <c r="I135" s="1016">
        <v>0.85970000000000002</v>
      </c>
      <c r="J135" s="1016">
        <v>0.85970000000000002</v>
      </c>
      <c r="K135" s="1016">
        <v>0.85970000000000002</v>
      </c>
      <c r="L135" s="1016">
        <v>0.85970000000000002</v>
      </c>
      <c r="M135" s="1016">
        <v>0.85970000000000002</v>
      </c>
    </row>
    <row r="136" spans="1:13">
      <c r="A136" s="1031">
        <v>3.2</v>
      </c>
      <c r="B136" s="1016">
        <v>1.0259</v>
      </c>
      <c r="C136" s="1016">
        <v>1.0259</v>
      </c>
      <c r="D136" s="1016">
        <v>0.92410000000000003</v>
      </c>
      <c r="E136" s="1016">
        <v>0.92410000000000003</v>
      </c>
      <c r="F136" s="1016">
        <v>0.92410000000000003</v>
      </c>
      <c r="G136" s="1016">
        <v>0.92410000000000003</v>
      </c>
      <c r="H136" s="1016">
        <v>0.92410000000000003</v>
      </c>
      <c r="I136" s="1016">
        <v>0.85019999999999996</v>
      </c>
      <c r="J136" s="1016">
        <v>0.85019999999999996</v>
      </c>
      <c r="K136" s="1016">
        <v>0.85019999999999996</v>
      </c>
      <c r="L136" s="1016">
        <v>0.85019999999999996</v>
      </c>
      <c r="M136" s="1016">
        <v>0.85019999999999996</v>
      </c>
    </row>
    <row r="137" spans="1:13">
      <c r="A137" s="1031">
        <v>3.3</v>
      </c>
      <c r="B137" s="1016">
        <v>1.0168999999999999</v>
      </c>
      <c r="C137" s="1016">
        <v>1.0168999999999999</v>
      </c>
      <c r="D137" s="1016">
        <v>0.91539999999999999</v>
      </c>
      <c r="E137" s="1016">
        <v>0.91539999999999999</v>
      </c>
      <c r="F137" s="1016">
        <v>0.91539999999999999</v>
      </c>
      <c r="G137" s="1016">
        <v>0.91539999999999999</v>
      </c>
      <c r="H137" s="1016">
        <v>0.91539999999999999</v>
      </c>
      <c r="I137" s="1016">
        <v>0.84109999999999996</v>
      </c>
      <c r="J137" s="1016">
        <v>0.84109999999999996</v>
      </c>
      <c r="K137" s="1016">
        <v>0.84109999999999996</v>
      </c>
      <c r="L137" s="1016">
        <v>0.84109999999999996</v>
      </c>
      <c r="M137" s="1016">
        <v>0.84109999999999996</v>
      </c>
    </row>
    <row r="138" spans="1:13">
      <c r="A138" s="1031">
        <v>3.4</v>
      </c>
      <c r="B138" s="1016">
        <v>1.0082</v>
      </c>
      <c r="C138" s="1016">
        <v>1.0082</v>
      </c>
      <c r="D138" s="1016">
        <v>0.90710000000000002</v>
      </c>
      <c r="E138" s="1016">
        <v>0.90710000000000002</v>
      </c>
      <c r="F138" s="1016">
        <v>0.90710000000000002</v>
      </c>
      <c r="G138" s="1016">
        <v>0.90710000000000002</v>
      </c>
      <c r="H138" s="1016">
        <v>0.90710000000000002</v>
      </c>
      <c r="I138" s="1016">
        <v>0.83240000000000003</v>
      </c>
      <c r="J138" s="1016">
        <v>0.83240000000000003</v>
      </c>
      <c r="K138" s="1016">
        <v>0.83240000000000003</v>
      </c>
      <c r="L138" s="1016">
        <v>0.83240000000000003</v>
      </c>
      <c r="M138" s="1016">
        <v>0.83240000000000003</v>
      </c>
    </row>
    <row r="139" spans="1:13">
      <c r="A139" s="1031">
        <v>3.5</v>
      </c>
      <c r="B139" s="1016">
        <v>1</v>
      </c>
      <c r="C139" s="1016">
        <v>1</v>
      </c>
      <c r="D139" s="1016">
        <v>0.89929999999999999</v>
      </c>
      <c r="E139" s="1016">
        <v>0.89929999999999999</v>
      </c>
      <c r="F139" s="1016">
        <v>0.89929999999999999</v>
      </c>
      <c r="G139" s="1016">
        <v>0.89929999999999999</v>
      </c>
      <c r="H139" s="1016">
        <v>0.89929999999999999</v>
      </c>
      <c r="I139" s="1016">
        <v>0.82410000000000005</v>
      </c>
      <c r="J139" s="1016">
        <v>0.82410000000000005</v>
      </c>
      <c r="K139" s="1016">
        <v>0.82410000000000005</v>
      </c>
      <c r="L139" s="1016">
        <v>0.82410000000000005</v>
      </c>
      <c r="M139" s="1016">
        <v>0.82410000000000005</v>
      </c>
    </row>
    <row r="140" spans="1:13">
      <c r="A140" s="1031">
        <v>3.6</v>
      </c>
      <c r="B140" s="1016">
        <v>0.99219999999999997</v>
      </c>
      <c r="C140" s="1016">
        <v>0.99219999999999997</v>
      </c>
      <c r="D140" s="1016">
        <v>0.89190000000000003</v>
      </c>
      <c r="E140" s="1016">
        <v>0.89190000000000003</v>
      </c>
      <c r="F140" s="1016">
        <v>0.89190000000000003</v>
      </c>
      <c r="G140" s="1016">
        <v>0.89190000000000003</v>
      </c>
      <c r="H140" s="1016">
        <v>0.89190000000000003</v>
      </c>
      <c r="I140" s="1016">
        <v>0.81620000000000004</v>
      </c>
      <c r="J140" s="1016">
        <v>0.81620000000000004</v>
      </c>
      <c r="K140" s="1016">
        <v>0.81620000000000004</v>
      </c>
      <c r="L140" s="1016">
        <v>0.81620000000000004</v>
      </c>
      <c r="M140" s="1016">
        <v>0.81620000000000004</v>
      </c>
    </row>
    <row r="141" spans="1:13">
      <c r="A141" s="1031">
        <v>3.7</v>
      </c>
      <c r="B141" s="1016">
        <v>0.98480000000000001</v>
      </c>
      <c r="C141" s="1016">
        <v>0.98480000000000001</v>
      </c>
      <c r="D141" s="1016">
        <v>0.88480000000000003</v>
      </c>
      <c r="E141" s="1016">
        <v>0.88480000000000003</v>
      </c>
      <c r="F141" s="1016">
        <v>0.88480000000000003</v>
      </c>
      <c r="G141" s="1016">
        <v>0.88480000000000003</v>
      </c>
      <c r="H141" s="1016">
        <v>0.88480000000000003</v>
      </c>
      <c r="I141" s="1016">
        <v>0.80869999999999997</v>
      </c>
      <c r="J141" s="1016">
        <v>0.80869999999999997</v>
      </c>
      <c r="K141" s="1016">
        <v>0.80869999999999997</v>
      </c>
      <c r="L141" s="1016">
        <v>0.80869999999999997</v>
      </c>
      <c r="M141" s="1016">
        <v>0.80869999999999997</v>
      </c>
    </row>
    <row r="142" spans="1:13">
      <c r="A142" s="1031">
        <v>3.8</v>
      </c>
      <c r="B142" s="1016">
        <v>0.9778</v>
      </c>
      <c r="C142" s="1016">
        <v>0.9778</v>
      </c>
      <c r="D142" s="1016">
        <v>0.87809999999999999</v>
      </c>
      <c r="E142" s="1016">
        <v>0.87809999999999999</v>
      </c>
      <c r="F142" s="1016">
        <v>0.87809999999999999</v>
      </c>
      <c r="G142" s="1016">
        <v>0.87809999999999999</v>
      </c>
      <c r="H142" s="1016">
        <v>0.87809999999999999</v>
      </c>
      <c r="I142" s="1016">
        <v>0.80159999999999998</v>
      </c>
      <c r="J142" s="1016">
        <v>0.80159999999999998</v>
      </c>
      <c r="K142" s="1016">
        <v>0.80159999999999998</v>
      </c>
      <c r="L142" s="1016">
        <v>0.80159999999999998</v>
      </c>
      <c r="M142" s="1016">
        <v>0.80159999999999998</v>
      </c>
    </row>
    <row r="143" spans="1:13">
      <c r="A143" s="1031">
        <v>3.9</v>
      </c>
      <c r="B143" s="1016">
        <v>0.97119999999999995</v>
      </c>
      <c r="C143" s="1016">
        <v>0.97119999999999995</v>
      </c>
      <c r="D143" s="1016">
        <v>0.87180000000000002</v>
      </c>
      <c r="E143" s="1016">
        <v>0.87180000000000002</v>
      </c>
      <c r="F143" s="1016">
        <v>0.87180000000000002</v>
      </c>
      <c r="G143" s="1016">
        <v>0.87180000000000002</v>
      </c>
      <c r="H143" s="1016">
        <v>0.87180000000000002</v>
      </c>
      <c r="I143" s="1016">
        <v>0.79479999999999995</v>
      </c>
      <c r="J143" s="1016">
        <v>0.79479999999999995</v>
      </c>
      <c r="K143" s="1016">
        <v>0.79479999999999995</v>
      </c>
      <c r="L143" s="1016">
        <v>0.79479999999999995</v>
      </c>
      <c r="M143" s="1016">
        <v>0.79479999999999995</v>
      </c>
    </row>
    <row r="144" spans="1:13">
      <c r="A144" s="1031">
        <v>4</v>
      </c>
      <c r="B144" s="1016">
        <v>0.96499999999999997</v>
      </c>
      <c r="C144" s="1016">
        <v>0.96499999999999997</v>
      </c>
      <c r="D144" s="1016">
        <v>0.86580000000000001</v>
      </c>
      <c r="E144" s="1016">
        <v>0.86580000000000001</v>
      </c>
      <c r="F144" s="1016">
        <v>0.86580000000000001</v>
      </c>
      <c r="G144" s="1016">
        <v>0.86580000000000001</v>
      </c>
      <c r="H144" s="1016">
        <v>0.86580000000000001</v>
      </c>
      <c r="I144" s="1016">
        <v>0.7883</v>
      </c>
      <c r="J144" s="1016">
        <v>0.7883</v>
      </c>
      <c r="K144" s="1016">
        <v>0.7883</v>
      </c>
      <c r="L144" s="1016">
        <v>0.7883</v>
      </c>
      <c r="M144" s="1016">
        <v>0.7883</v>
      </c>
    </row>
    <row r="145" spans="1:13">
      <c r="A145" s="1031">
        <v>4.0999999999999996</v>
      </c>
      <c r="B145" s="1016">
        <v>0.95909999999999995</v>
      </c>
      <c r="C145" s="1016">
        <v>0.95909999999999995</v>
      </c>
      <c r="D145" s="1016">
        <v>0.86009999999999998</v>
      </c>
      <c r="E145" s="1016">
        <v>0.86009999999999998</v>
      </c>
      <c r="F145" s="1016">
        <v>0.86009999999999998</v>
      </c>
      <c r="G145" s="1016">
        <v>0.86009999999999998</v>
      </c>
      <c r="H145" s="1016">
        <v>0.86009999999999998</v>
      </c>
      <c r="I145" s="1016">
        <v>0.78200000000000003</v>
      </c>
      <c r="J145" s="1016">
        <v>0.78200000000000003</v>
      </c>
      <c r="K145" s="1016">
        <v>0.78200000000000003</v>
      </c>
      <c r="L145" s="1016">
        <v>0.78200000000000003</v>
      </c>
      <c r="M145" s="1016">
        <v>0.78200000000000003</v>
      </c>
    </row>
    <row r="146" spans="1:13">
      <c r="A146" s="1031">
        <v>4.2</v>
      </c>
      <c r="B146" s="1016">
        <v>0.95350000000000001</v>
      </c>
      <c r="C146" s="1016">
        <v>0.95350000000000001</v>
      </c>
      <c r="D146" s="1016">
        <v>0.85470000000000002</v>
      </c>
      <c r="E146" s="1016">
        <v>0.85470000000000002</v>
      </c>
      <c r="F146" s="1016">
        <v>0.85470000000000002</v>
      </c>
      <c r="G146" s="1016">
        <v>0.85470000000000002</v>
      </c>
      <c r="H146" s="1016">
        <v>0.85470000000000002</v>
      </c>
      <c r="I146" s="1016">
        <v>0.77600000000000002</v>
      </c>
      <c r="J146" s="1016">
        <v>0.77600000000000002</v>
      </c>
      <c r="K146" s="1016">
        <v>0.77600000000000002</v>
      </c>
      <c r="L146" s="1016">
        <v>0.77600000000000002</v>
      </c>
      <c r="M146" s="1016">
        <v>0.77600000000000002</v>
      </c>
    </row>
    <row r="147" spans="1:13">
      <c r="A147" s="1031">
        <v>4.3</v>
      </c>
      <c r="B147" s="1016">
        <v>0.94820000000000004</v>
      </c>
      <c r="C147" s="1016">
        <v>0.94820000000000004</v>
      </c>
      <c r="D147" s="1016">
        <v>0.84960000000000002</v>
      </c>
      <c r="E147" s="1016">
        <v>0.84960000000000002</v>
      </c>
      <c r="F147" s="1016">
        <v>0.84960000000000002</v>
      </c>
      <c r="G147" s="1016">
        <v>0.84960000000000002</v>
      </c>
      <c r="H147" s="1016">
        <v>0.84960000000000002</v>
      </c>
      <c r="I147" s="1016">
        <v>0.77029999999999998</v>
      </c>
      <c r="J147" s="1016">
        <v>0.77029999999999998</v>
      </c>
      <c r="K147" s="1016">
        <v>0.77029999999999998</v>
      </c>
      <c r="L147" s="1016">
        <v>0.77029999999999998</v>
      </c>
      <c r="M147" s="1016">
        <v>0.77029999999999998</v>
      </c>
    </row>
    <row r="148" spans="1:13">
      <c r="A148" s="1031">
        <v>4.4000000000000004</v>
      </c>
      <c r="B148" s="1016">
        <v>0.94320000000000004</v>
      </c>
      <c r="C148" s="1016">
        <v>0.94320000000000004</v>
      </c>
      <c r="D148" s="1016">
        <v>0.8448</v>
      </c>
      <c r="E148" s="1016">
        <v>0.8448</v>
      </c>
      <c r="F148" s="1016">
        <v>0.8448</v>
      </c>
      <c r="G148" s="1016">
        <v>0.8448</v>
      </c>
      <c r="H148" s="1016">
        <v>0.8448</v>
      </c>
      <c r="I148" s="1016">
        <v>0.76490000000000002</v>
      </c>
      <c r="J148" s="1016">
        <v>0.76490000000000002</v>
      </c>
      <c r="K148" s="1016">
        <v>0.76490000000000002</v>
      </c>
      <c r="L148" s="1016">
        <v>0.76490000000000002</v>
      </c>
      <c r="M148" s="1016">
        <v>0.76490000000000002</v>
      </c>
    </row>
    <row r="149" spans="1:13">
      <c r="A149" s="1031">
        <v>4.5</v>
      </c>
      <c r="B149" s="1016">
        <v>0.9385</v>
      </c>
      <c r="C149" s="1016">
        <v>0.9385</v>
      </c>
      <c r="D149" s="1016">
        <v>0.84019999999999995</v>
      </c>
      <c r="E149" s="1016">
        <v>0.84019999999999995</v>
      </c>
      <c r="F149" s="1016">
        <v>0.84019999999999995</v>
      </c>
      <c r="G149" s="1016">
        <v>0.84019999999999995</v>
      </c>
      <c r="H149" s="1016">
        <v>0.84019999999999995</v>
      </c>
      <c r="I149" s="1016">
        <v>0.75970000000000004</v>
      </c>
      <c r="J149" s="1016">
        <v>0.75970000000000004</v>
      </c>
      <c r="K149" s="1016">
        <v>0.75970000000000004</v>
      </c>
      <c r="L149" s="1016">
        <v>0.75970000000000004</v>
      </c>
      <c r="M149" s="1016">
        <v>0.75970000000000004</v>
      </c>
    </row>
    <row r="150" spans="1:13">
      <c r="A150" s="1031">
        <v>4.5999999999999996</v>
      </c>
      <c r="B150" s="1016">
        <v>0.93410000000000004</v>
      </c>
      <c r="C150" s="1016">
        <v>0.93410000000000004</v>
      </c>
      <c r="D150" s="1016">
        <v>0.83579999999999999</v>
      </c>
      <c r="E150" s="1016">
        <v>0.83579999999999999</v>
      </c>
      <c r="F150" s="1016">
        <v>0.83579999999999999</v>
      </c>
      <c r="G150" s="1016">
        <v>0.83579999999999999</v>
      </c>
      <c r="H150" s="1016">
        <v>0.83579999999999999</v>
      </c>
      <c r="I150" s="1016">
        <v>0.75470000000000004</v>
      </c>
      <c r="J150" s="1016">
        <v>0.75470000000000004</v>
      </c>
      <c r="K150" s="1016">
        <v>0.75470000000000004</v>
      </c>
      <c r="L150" s="1016">
        <v>0.75470000000000004</v>
      </c>
      <c r="M150" s="1016">
        <v>0.75470000000000004</v>
      </c>
    </row>
    <row r="151" spans="1:13">
      <c r="A151" s="1031">
        <v>4.7</v>
      </c>
      <c r="B151" s="1016">
        <v>0.92989999999999995</v>
      </c>
      <c r="C151" s="1016">
        <v>0.92989999999999995</v>
      </c>
      <c r="D151" s="1016">
        <v>0.83160000000000001</v>
      </c>
      <c r="E151" s="1016">
        <v>0.83160000000000001</v>
      </c>
      <c r="F151" s="1016">
        <v>0.83160000000000001</v>
      </c>
      <c r="G151" s="1016">
        <v>0.83160000000000001</v>
      </c>
      <c r="H151" s="1016">
        <v>0.83160000000000001</v>
      </c>
      <c r="I151" s="1016">
        <v>0.74990000000000001</v>
      </c>
      <c r="J151" s="1016">
        <v>0.74990000000000001</v>
      </c>
      <c r="K151" s="1016">
        <v>0.74990000000000001</v>
      </c>
      <c r="L151" s="1016">
        <v>0.74990000000000001</v>
      </c>
      <c r="M151" s="1016">
        <v>0.74990000000000001</v>
      </c>
    </row>
    <row r="152" spans="1:13">
      <c r="A152" s="1031">
        <v>4.8</v>
      </c>
      <c r="B152" s="1016">
        <v>0.92589999999999995</v>
      </c>
      <c r="C152" s="1016">
        <v>0.92589999999999995</v>
      </c>
      <c r="D152" s="1016">
        <v>0.82769999999999999</v>
      </c>
      <c r="E152" s="1016">
        <v>0.82769999999999999</v>
      </c>
      <c r="F152" s="1016">
        <v>0.82769999999999999</v>
      </c>
      <c r="G152" s="1016">
        <v>0.82769999999999999</v>
      </c>
      <c r="H152" s="1016">
        <v>0.82769999999999999</v>
      </c>
      <c r="I152" s="1016">
        <v>0.74529999999999996</v>
      </c>
      <c r="J152" s="1016">
        <v>0.74529999999999996</v>
      </c>
      <c r="K152" s="1016">
        <v>0.74529999999999996</v>
      </c>
      <c r="L152" s="1016">
        <v>0.74529999999999996</v>
      </c>
      <c r="M152" s="1016">
        <v>0.74529999999999996</v>
      </c>
    </row>
    <row r="153" spans="1:13">
      <c r="A153" s="1031">
        <v>4.9000000000000004</v>
      </c>
      <c r="B153" s="1016">
        <v>0.92210000000000003</v>
      </c>
      <c r="C153" s="1016">
        <v>0.92210000000000003</v>
      </c>
      <c r="D153" s="1016">
        <v>0.82389999999999997</v>
      </c>
      <c r="E153" s="1016">
        <v>0.82389999999999997</v>
      </c>
      <c r="F153" s="1016">
        <v>0.82389999999999997</v>
      </c>
      <c r="G153" s="1016">
        <v>0.82389999999999997</v>
      </c>
      <c r="H153" s="1016">
        <v>0.82389999999999997</v>
      </c>
      <c r="I153" s="1016">
        <v>0.7409</v>
      </c>
      <c r="J153" s="1016">
        <v>0.7409</v>
      </c>
      <c r="K153" s="1016">
        <v>0.7409</v>
      </c>
      <c r="L153" s="1016">
        <v>0.7409</v>
      </c>
      <c r="M153" s="1016">
        <v>0.7409</v>
      </c>
    </row>
    <row r="154" spans="1:13">
      <c r="A154" s="1031">
        <v>5</v>
      </c>
      <c r="B154" s="1016">
        <v>0.91849999999999998</v>
      </c>
      <c r="C154" s="1016">
        <v>0.91849999999999998</v>
      </c>
      <c r="D154" s="1016">
        <v>0.82030000000000003</v>
      </c>
      <c r="E154" s="1016">
        <v>0.82030000000000003</v>
      </c>
      <c r="F154" s="1016">
        <v>0.82030000000000003</v>
      </c>
      <c r="G154" s="1016">
        <v>0.82030000000000003</v>
      </c>
      <c r="H154" s="1016">
        <v>0.82030000000000003</v>
      </c>
      <c r="I154" s="1016">
        <v>0.73670000000000002</v>
      </c>
      <c r="J154" s="1016">
        <v>0.73670000000000002</v>
      </c>
      <c r="K154" s="1016">
        <v>0.73670000000000002</v>
      </c>
      <c r="L154" s="1016">
        <v>0.73670000000000002</v>
      </c>
      <c r="M154" s="1016">
        <v>0.73670000000000002</v>
      </c>
    </row>
    <row r="155" spans="1:13">
      <c r="A155" s="1007">
        <v>5.0999999999999996</v>
      </c>
      <c r="B155" s="1016">
        <v>0.91510000000000002</v>
      </c>
      <c r="C155" s="1016">
        <v>0.91510000000000002</v>
      </c>
      <c r="D155" s="1016">
        <v>0.81689999999999996</v>
      </c>
      <c r="E155" s="1016">
        <v>0.81689999999999996</v>
      </c>
      <c r="F155" s="1016">
        <v>0.81689999999999996</v>
      </c>
      <c r="G155" s="1016">
        <v>0.81689999999999996</v>
      </c>
      <c r="H155" s="1016">
        <v>0.81689999999999996</v>
      </c>
      <c r="I155" s="1016">
        <v>0.73270000000000002</v>
      </c>
      <c r="J155" s="1016">
        <v>0.73270000000000002</v>
      </c>
      <c r="K155" s="1016">
        <v>0.73270000000000002</v>
      </c>
      <c r="L155" s="1016">
        <v>0.73270000000000002</v>
      </c>
      <c r="M155" s="1016">
        <v>0.73270000000000002</v>
      </c>
    </row>
    <row r="156" spans="1:13">
      <c r="A156" s="1007">
        <v>5.2</v>
      </c>
      <c r="B156" s="1016">
        <v>0.91190000000000004</v>
      </c>
      <c r="C156" s="1016">
        <v>0.91190000000000004</v>
      </c>
      <c r="D156" s="1016">
        <v>0.81359999999999999</v>
      </c>
      <c r="E156" s="1016">
        <v>0.81359999999999999</v>
      </c>
      <c r="F156" s="1016">
        <v>0.81359999999999999</v>
      </c>
      <c r="G156" s="1016">
        <v>0.81359999999999999</v>
      </c>
      <c r="H156" s="1016">
        <v>0.81359999999999999</v>
      </c>
      <c r="I156" s="1016">
        <v>0.72889999999999999</v>
      </c>
      <c r="J156" s="1016">
        <v>0.72889999999999999</v>
      </c>
      <c r="K156" s="1016">
        <v>0.72889999999999999</v>
      </c>
      <c r="L156" s="1016">
        <v>0.72889999999999999</v>
      </c>
      <c r="M156" s="1016">
        <v>0.72889999999999999</v>
      </c>
    </row>
    <row r="157" spans="1:13">
      <c r="A157" s="1007">
        <v>5.3</v>
      </c>
      <c r="B157" s="1016">
        <v>0.90880000000000005</v>
      </c>
      <c r="C157" s="1016">
        <v>0.90880000000000005</v>
      </c>
      <c r="D157" s="1016">
        <v>0.8105</v>
      </c>
      <c r="E157" s="1016">
        <v>0.8105</v>
      </c>
      <c r="F157" s="1016">
        <v>0.8105</v>
      </c>
      <c r="G157" s="1016">
        <v>0.8105</v>
      </c>
      <c r="H157" s="1016">
        <v>0.8105</v>
      </c>
      <c r="I157" s="1016">
        <v>0.72529999999999994</v>
      </c>
      <c r="J157" s="1016">
        <v>0.72529999999999994</v>
      </c>
      <c r="K157" s="1016">
        <v>0.72529999999999994</v>
      </c>
      <c r="L157" s="1016">
        <v>0.72529999999999994</v>
      </c>
      <c r="M157" s="1016">
        <v>0.72529999999999994</v>
      </c>
    </row>
    <row r="158" spans="1:13">
      <c r="A158" s="1007">
        <v>5.4</v>
      </c>
      <c r="B158" s="1016">
        <v>0.90580000000000005</v>
      </c>
      <c r="C158" s="1016">
        <v>0.90580000000000005</v>
      </c>
      <c r="D158" s="1016">
        <v>0.8075</v>
      </c>
      <c r="E158" s="1016">
        <v>0.8075</v>
      </c>
      <c r="F158" s="1016">
        <v>0.8075</v>
      </c>
      <c r="G158" s="1016">
        <v>0.8075</v>
      </c>
      <c r="H158" s="1016">
        <v>0.8075</v>
      </c>
      <c r="I158" s="1016">
        <v>0.7218</v>
      </c>
      <c r="J158" s="1016">
        <v>0.7218</v>
      </c>
      <c r="K158" s="1016">
        <v>0.7218</v>
      </c>
      <c r="L158" s="1016">
        <v>0.7218</v>
      </c>
      <c r="M158" s="1016">
        <v>0.7218</v>
      </c>
    </row>
    <row r="159" spans="1:13">
      <c r="A159" s="1007">
        <v>5.5</v>
      </c>
      <c r="B159" s="1016">
        <v>0.90290000000000004</v>
      </c>
      <c r="C159" s="1016">
        <v>0.90290000000000004</v>
      </c>
      <c r="D159" s="1016">
        <v>0.80469999999999997</v>
      </c>
      <c r="E159" s="1016">
        <v>0.80469999999999997</v>
      </c>
      <c r="F159" s="1016">
        <v>0.80469999999999997</v>
      </c>
      <c r="G159" s="1016">
        <v>0.80469999999999997</v>
      </c>
      <c r="H159" s="1016">
        <v>0.80469999999999997</v>
      </c>
      <c r="I159" s="1016">
        <v>0.71840000000000004</v>
      </c>
      <c r="J159" s="1016">
        <v>0.71840000000000004</v>
      </c>
      <c r="K159" s="1016">
        <v>0.71840000000000004</v>
      </c>
      <c r="L159" s="1016">
        <v>0.71840000000000004</v>
      </c>
      <c r="M159" s="1016">
        <v>0.71840000000000004</v>
      </c>
    </row>
    <row r="160" spans="1:13">
      <c r="A160" s="1007">
        <v>5.6</v>
      </c>
      <c r="B160" s="1016">
        <v>0.90010000000000001</v>
      </c>
      <c r="C160" s="1016">
        <v>0.90010000000000001</v>
      </c>
      <c r="D160" s="1016">
        <v>0.80200000000000005</v>
      </c>
      <c r="E160" s="1016">
        <v>0.80200000000000005</v>
      </c>
      <c r="F160" s="1016">
        <v>0.80200000000000005</v>
      </c>
      <c r="G160" s="1016">
        <v>0.80200000000000005</v>
      </c>
      <c r="H160" s="1016">
        <v>0.80200000000000005</v>
      </c>
      <c r="I160" s="1016">
        <v>0.71509999999999996</v>
      </c>
      <c r="J160" s="1016">
        <v>0.71509999999999996</v>
      </c>
      <c r="K160" s="1016">
        <v>0.71509999999999996</v>
      </c>
      <c r="L160" s="1016">
        <v>0.71509999999999996</v>
      </c>
      <c r="M160" s="1016">
        <v>0.71509999999999996</v>
      </c>
    </row>
    <row r="161" spans="1:13">
      <c r="A161" s="1031">
        <v>5.7</v>
      </c>
      <c r="B161" s="1016">
        <v>0.89749999999999996</v>
      </c>
      <c r="C161" s="1016">
        <v>0.89749999999999996</v>
      </c>
      <c r="D161" s="1016">
        <v>0.79930000000000001</v>
      </c>
      <c r="E161" s="1016">
        <v>0.79930000000000001</v>
      </c>
      <c r="F161" s="1016">
        <v>0.79930000000000001</v>
      </c>
      <c r="G161" s="1016">
        <v>0.79930000000000001</v>
      </c>
      <c r="H161" s="1016">
        <v>0.79930000000000001</v>
      </c>
      <c r="I161" s="1016">
        <v>0.71189999999999998</v>
      </c>
      <c r="J161" s="1016">
        <v>0.71189999999999998</v>
      </c>
      <c r="K161" s="1016">
        <v>0.71189999999999998</v>
      </c>
      <c r="L161" s="1016">
        <v>0.71189999999999998</v>
      </c>
      <c r="M161" s="1016">
        <v>0.71189999999999998</v>
      </c>
    </row>
    <row r="162" spans="1:13">
      <c r="A162" s="1007">
        <v>5.8</v>
      </c>
      <c r="B162" s="1016">
        <v>0.89500000000000002</v>
      </c>
      <c r="C162" s="1016">
        <v>0.89500000000000002</v>
      </c>
      <c r="D162" s="1016">
        <v>0.79679999999999995</v>
      </c>
      <c r="E162" s="1016">
        <v>0.79679999999999995</v>
      </c>
      <c r="F162" s="1016">
        <v>0.79679999999999995</v>
      </c>
      <c r="G162" s="1016">
        <v>0.79679999999999995</v>
      </c>
      <c r="H162" s="1016">
        <v>0.79679999999999995</v>
      </c>
      <c r="I162" s="1016">
        <v>0.70879999999999999</v>
      </c>
      <c r="J162" s="1016">
        <v>0.70879999999999999</v>
      </c>
      <c r="K162" s="1016">
        <v>0.70879999999999999</v>
      </c>
      <c r="L162" s="1016">
        <v>0.70879999999999999</v>
      </c>
      <c r="M162" s="1016">
        <v>0.70879999999999999</v>
      </c>
    </row>
    <row r="163" spans="1:13">
      <c r="A163" s="1007">
        <v>5.9</v>
      </c>
      <c r="B163" s="1016">
        <v>0.89259999999999995</v>
      </c>
      <c r="C163" s="1016">
        <v>0.89259999999999995</v>
      </c>
      <c r="D163" s="1016">
        <v>0.7944</v>
      </c>
      <c r="E163" s="1016">
        <v>0.7944</v>
      </c>
      <c r="F163" s="1016">
        <v>0.7944</v>
      </c>
      <c r="G163" s="1016">
        <v>0.7944</v>
      </c>
      <c r="H163" s="1016">
        <v>0.7944</v>
      </c>
      <c r="I163" s="1016">
        <v>0.70579999999999998</v>
      </c>
      <c r="J163" s="1016">
        <v>0.70579999999999998</v>
      </c>
      <c r="K163" s="1016">
        <v>0.70579999999999998</v>
      </c>
      <c r="L163" s="1016">
        <v>0.70579999999999998</v>
      </c>
      <c r="M163" s="1016">
        <v>0.70579999999999998</v>
      </c>
    </row>
    <row r="164" spans="1:13">
      <c r="A164" s="1007">
        <v>6</v>
      </c>
      <c r="B164" s="1016">
        <v>0.89029999999999998</v>
      </c>
      <c r="C164" s="1016">
        <v>0.89029999999999998</v>
      </c>
      <c r="D164" s="1016">
        <v>0.79200000000000004</v>
      </c>
      <c r="E164" s="1016">
        <v>0.79200000000000004</v>
      </c>
      <c r="F164" s="1016">
        <v>0.79200000000000004</v>
      </c>
      <c r="G164" s="1016">
        <v>0.79200000000000004</v>
      </c>
      <c r="H164" s="1016">
        <v>0.79200000000000004</v>
      </c>
      <c r="I164" s="1016">
        <v>0.70289999999999997</v>
      </c>
      <c r="J164" s="1016">
        <v>0.70289999999999997</v>
      </c>
      <c r="K164" s="1016">
        <v>0.70289999999999997</v>
      </c>
      <c r="L164" s="1016">
        <v>0.70289999999999997</v>
      </c>
      <c r="M164" s="1016">
        <v>0.70289999999999997</v>
      </c>
    </row>
    <row r="165" spans="1:13">
      <c r="A165" s="1007">
        <v>6.1</v>
      </c>
      <c r="B165" s="1016">
        <v>0.8881</v>
      </c>
      <c r="C165" s="1016">
        <v>0.8881</v>
      </c>
      <c r="D165" s="1016">
        <v>0.78979999999999995</v>
      </c>
      <c r="E165" s="1016">
        <v>0.78979999999999995</v>
      </c>
      <c r="F165" s="1016">
        <v>0.78979999999999995</v>
      </c>
      <c r="G165" s="1016">
        <v>0.78979999999999995</v>
      </c>
      <c r="H165" s="1016">
        <v>0.78979999999999995</v>
      </c>
      <c r="I165" s="1016">
        <v>0.70009999999999994</v>
      </c>
      <c r="J165" s="1016">
        <v>0.70009999999999994</v>
      </c>
      <c r="K165" s="1016">
        <v>0.70009999999999994</v>
      </c>
      <c r="L165" s="1016">
        <v>0.70009999999999994</v>
      </c>
      <c r="M165" s="1016">
        <v>0.70009999999999994</v>
      </c>
    </row>
    <row r="166" spans="1:13">
      <c r="A166" s="1007">
        <v>6.2</v>
      </c>
      <c r="B166" s="1016">
        <v>0.88600000000000001</v>
      </c>
      <c r="C166" s="1016">
        <v>0.88600000000000001</v>
      </c>
      <c r="D166" s="1016">
        <v>0.78759999999999997</v>
      </c>
      <c r="E166" s="1016">
        <v>0.78759999999999997</v>
      </c>
      <c r="F166" s="1016">
        <v>0.78759999999999997</v>
      </c>
      <c r="G166" s="1016">
        <v>0.78759999999999997</v>
      </c>
      <c r="H166" s="1016">
        <v>0.78759999999999997</v>
      </c>
      <c r="I166" s="1016">
        <v>0.69740000000000002</v>
      </c>
      <c r="J166" s="1016">
        <v>0.69740000000000002</v>
      </c>
      <c r="K166" s="1016">
        <v>0.69740000000000002</v>
      </c>
      <c r="L166" s="1016">
        <v>0.69740000000000002</v>
      </c>
      <c r="M166" s="1016">
        <v>0.69740000000000002</v>
      </c>
    </row>
    <row r="167" spans="1:13">
      <c r="A167" s="1007">
        <v>6.3</v>
      </c>
      <c r="B167" s="1016">
        <v>0.88390000000000002</v>
      </c>
      <c r="C167" s="1016">
        <v>0.88390000000000002</v>
      </c>
      <c r="D167" s="1016">
        <v>0.78549999999999998</v>
      </c>
      <c r="E167" s="1016">
        <v>0.78549999999999998</v>
      </c>
      <c r="F167" s="1016">
        <v>0.78549999999999998</v>
      </c>
      <c r="G167" s="1016">
        <v>0.78549999999999998</v>
      </c>
      <c r="H167" s="1016">
        <v>0.78549999999999998</v>
      </c>
      <c r="I167" s="1016">
        <v>0.69479999999999997</v>
      </c>
      <c r="J167" s="1016">
        <v>0.69479999999999997</v>
      </c>
      <c r="K167" s="1016">
        <v>0.69479999999999997</v>
      </c>
      <c r="L167" s="1016">
        <v>0.69479999999999997</v>
      </c>
      <c r="M167" s="1016">
        <v>0.69479999999999997</v>
      </c>
    </row>
    <row r="168" spans="1:13">
      <c r="A168" s="1007">
        <v>6.4</v>
      </c>
      <c r="B168" s="1016">
        <v>0.88190000000000002</v>
      </c>
      <c r="C168" s="1016">
        <v>0.88190000000000002</v>
      </c>
      <c r="D168" s="1016">
        <v>0.78339999999999999</v>
      </c>
      <c r="E168" s="1016">
        <v>0.78339999999999999</v>
      </c>
      <c r="F168" s="1016">
        <v>0.78339999999999999</v>
      </c>
      <c r="G168" s="1016">
        <v>0.78339999999999999</v>
      </c>
      <c r="H168" s="1016">
        <v>0.78339999999999999</v>
      </c>
      <c r="I168" s="1016">
        <v>0.69230000000000003</v>
      </c>
      <c r="J168" s="1016">
        <v>0.69230000000000003</v>
      </c>
      <c r="K168" s="1016">
        <v>0.69230000000000003</v>
      </c>
      <c r="L168" s="1016">
        <v>0.69230000000000003</v>
      </c>
      <c r="M168" s="1016">
        <v>0.69230000000000003</v>
      </c>
    </row>
    <row r="169" spans="1:13">
      <c r="A169" s="1007">
        <v>6.5</v>
      </c>
      <c r="B169" s="1016">
        <v>0.88</v>
      </c>
      <c r="C169" s="1016">
        <v>0.88</v>
      </c>
      <c r="D169" s="1016">
        <v>0.78139999999999998</v>
      </c>
      <c r="E169" s="1016">
        <v>0.78139999999999998</v>
      </c>
      <c r="F169" s="1016">
        <v>0.78139999999999998</v>
      </c>
      <c r="G169" s="1016">
        <v>0.78139999999999998</v>
      </c>
      <c r="H169" s="1016">
        <v>0.78139999999999998</v>
      </c>
      <c r="I169" s="1016">
        <v>0.68989999999999996</v>
      </c>
      <c r="J169" s="1016">
        <v>0.68989999999999996</v>
      </c>
      <c r="K169" s="1016">
        <v>0.68989999999999996</v>
      </c>
      <c r="L169" s="1016">
        <v>0.68989999999999996</v>
      </c>
      <c r="M169" s="1016">
        <v>0.68989999999999996</v>
      </c>
    </row>
    <row r="170" spans="1:13">
      <c r="A170" s="1007">
        <v>6.6</v>
      </c>
      <c r="B170" s="1016">
        <v>0.87809999999999999</v>
      </c>
      <c r="C170" s="1016">
        <v>0.87809999999999999</v>
      </c>
      <c r="D170" s="1016">
        <v>0.77949999999999997</v>
      </c>
      <c r="E170" s="1016">
        <v>0.77949999999999997</v>
      </c>
      <c r="F170" s="1016">
        <v>0.77949999999999997</v>
      </c>
      <c r="G170" s="1016">
        <v>0.77949999999999997</v>
      </c>
      <c r="H170" s="1016">
        <v>0.77949999999999997</v>
      </c>
      <c r="I170" s="1016">
        <v>0.68759999999999999</v>
      </c>
      <c r="J170" s="1016">
        <v>0.68759999999999999</v>
      </c>
      <c r="K170" s="1016">
        <v>0.68759999999999999</v>
      </c>
      <c r="L170" s="1016">
        <v>0.68759999999999999</v>
      </c>
      <c r="M170" s="1016">
        <v>0.68759999999999999</v>
      </c>
    </row>
    <row r="171" spans="1:13">
      <c r="A171" s="1007">
        <v>6.7</v>
      </c>
      <c r="B171" s="1016">
        <v>0.87629999999999997</v>
      </c>
      <c r="C171" s="1016">
        <v>0.87629999999999997</v>
      </c>
      <c r="D171" s="1016">
        <v>0.77759999999999996</v>
      </c>
      <c r="E171" s="1016">
        <v>0.77759999999999996</v>
      </c>
      <c r="F171" s="1016">
        <v>0.77759999999999996</v>
      </c>
      <c r="G171" s="1016">
        <v>0.77759999999999996</v>
      </c>
      <c r="H171" s="1016">
        <v>0.77759999999999996</v>
      </c>
      <c r="I171" s="1016">
        <v>0.68530000000000002</v>
      </c>
      <c r="J171" s="1016">
        <v>0.68530000000000002</v>
      </c>
      <c r="K171" s="1016">
        <v>0.68530000000000002</v>
      </c>
      <c r="L171" s="1016">
        <v>0.68530000000000002</v>
      </c>
      <c r="M171" s="1016">
        <v>0.68530000000000002</v>
      </c>
    </row>
    <row r="172" spans="1:13">
      <c r="A172" s="1007">
        <v>6.8</v>
      </c>
      <c r="B172" s="1016">
        <v>0.87450000000000006</v>
      </c>
      <c r="C172" s="1016">
        <v>0.87450000000000006</v>
      </c>
      <c r="D172" s="1016">
        <v>0.77569999999999995</v>
      </c>
      <c r="E172" s="1016">
        <v>0.77569999999999995</v>
      </c>
      <c r="F172" s="1016">
        <v>0.77569999999999995</v>
      </c>
      <c r="G172" s="1016">
        <v>0.77569999999999995</v>
      </c>
      <c r="H172" s="1016">
        <v>0.77569999999999995</v>
      </c>
      <c r="I172" s="1016">
        <v>0.68310000000000004</v>
      </c>
      <c r="J172" s="1016">
        <v>0.68310000000000004</v>
      </c>
      <c r="K172" s="1016">
        <v>0.68310000000000004</v>
      </c>
      <c r="L172" s="1016">
        <v>0.68310000000000004</v>
      </c>
      <c r="M172" s="1016">
        <v>0.68310000000000004</v>
      </c>
    </row>
    <row r="173" spans="1:13">
      <c r="A173" s="1007">
        <v>6.9</v>
      </c>
      <c r="B173" s="1016">
        <v>0.87280000000000002</v>
      </c>
      <c r="C173" s="1016">
        <v>0.87280000000000002</v>
      </c>
      <c r="D173" s="1016">
        <v>0.77390000000000003</v>
      </c>
      <c r="E173" s="1016">
        <v>0.77390000000000003</v>
      </c>
      <c r="F173" s="1016">
        <v>0.77390000000000003</v>
      </c>
      <c r="G173" s="1016">
        <v>0.77390000000000003</v>
      </c>
      <c r="H173" s="1016">
        <v>0.77390000000000003</v>
      </c>
      <c r="I173" s="1016">
        <v>0.68089999999999995</v>
      </c>
      <c r="J173" s="1016">
        <v>0.68089999999999995</v>
      </c>
      <c r="K173" s="1016">
        <v>0.68089999999999995</v>
      </c>
      <c r="L173" s="1016">
        <v>0.68089999999999995</v>
      </c>
      <c r="M173" s="1016">
        <v>0.68089999999999995</v>
      </c>
    </row>
    <row r="174" spans="1:13">
      <c r="A174" s="1007">
        <v>7</v>
      </c>
      <c r="B174" s="1016">
        <v>0.87109999999999999</v>
      </c>
      <c r="C174" s="1016">
        <v>0.87109999999999999</v>
      </c>
      <c r="D174" s="1016">
        <v>0.77210000000000001</v>
      </c>
      <c r="E174" s="1016">
        <v>0.77210000000000001</v>
      </c>
      <c r="F174" s="1016">
        <v>0.77210000000000001</v>
      </c>
      <c r="G174" s="1016">
        <v>0.77210000000000001</v>
      </c>
      <c r="H174" s="1016">
        <v>0.77210000000000001</v>
      </c>
      <c r="I174" s="1016">
        <v>0.67879999999999996</v>
      </c>
      <c r="J174" s="1016">
        <v>0.67879999999999996</v>
      </c>
      <c r="K174" s="1016">
        <v>0.67879999999999996</v>
      </c>
      <c r="L174" s="1016">
        <v>0.67879999999999996</v>
      </c>
      <c r="M174" s="1016">
        <v>0.67879999999999996</v>
      </c>
    </row>
    <row r="175" spans="1:13">
      <c r="A175" s="1007">
        <v>7.1</v>
      </c>
      <c r="B175" s="1016">
        <v>0.86939999999999995</v>
      </c>
      <c r="C175" s="1016">
        <v>0.86939999999999995</v>
      </c>
      <c r="D175" s="1016">
        <v>0.77039999999999997</v>
      </c>
      <c r="E175" s="1016">
        <v>0.77039999999999997</v>
      </c>
      <c r="F175" s="1016">
        <v>0.77039999999999997</v>
      </c>
      <c r="G175" s="1016">
        <v>0.77039999999999997</v>
      </c>
      <c r="H175" s="1016">
        <v>0.77039999999999997</v>
      </c>
      <c r="I175" s="1016">
        <v>0.67669999999999997</v>
      </c>
      <c r="J175" s="1016">
        <v>0.67669999999999997</v>
      </c>
      <c r="K175" s="1016">
        <v>0.67669999999999997</v>
      </c>
      <c r="L175" s="1016">
        <v>0.67669999999999997</v>
      </c>
      <c r="M175" s="1016">
        <v>0.67669999999999997</v>
      </c>
    </row>
    <row r="176" spans="1:13">
      <c r="A176" s="1007">
        <v>7.2</v>
      </c>
      <c r="B176" s="1016">
        <v>0.86770000000000003</v>
      </c>
      <c r="C176" s="1016">
        <v>0.86770000000000003</v>
      </c>
      <c r="D176" s="1016">
        <v>0.76870000000000005</v>
      </c>
      <c r="E176" s="1016">
        <v>0.76870000000000005</v>
      </c>
      <c r="F176" s="1016">
        <v>0.76870000000000005</v>
      </c>
      <c r="G176" s="1016">
        <v>0.76870000000000005</v>
      </c>
      <c r="H176" s="1016">
        <v>0.76870000000000005</v>
      </c>
      <c r="I176" s="1016">
        <v>0.67469999999999997</v>
      </c>
      <c r="J176" s="1016">
        <v>0.67469999999999997</v>
      </c>
      <c r="K176" s="1016">
        <v>0.67469999999999997</v>
      </c>
      <c r="L176" s="1016">
        <v>0.67469999999999997</v>
      </c>
      <c r="M176" s="1016">
        <v>0.67469999999999997</v>
      </c>
    </row>
    <row r="177" spans="1:13">
      <c r="A177" s="1007">
        <v>7.3</v>
      </c>
      <c r="B177" s="1016">
        <v>0.86609999999999998</v>
      </c>
      <c r="C177" s="1016">
        <v>0.86609999999999998</v>
      </c>
      <c r="D177" s="1016">
        <v>0.76700000000000002</v>
      </c>
      <c r="E177" s="1016">
        <v>0.76700000000000002</v>
      </c>
      <c r="F177" s="1016">
        <v>0.76700000000000002</v>
      </c>
      <c r="G177" s="1016">
        <v>0.76700000000000002</v>
      </c>
      <c r="H177" s="1016">
        <v>0.76700000000000002</v>
      </c>
      <c r="I177" s="1016">
        <v>0.67269999999999996</v>
      </c>
      <c r="J177" s="1016">
        <v>0.67269999999999996</v>
      </c>
      <c r="K177" s="1016">
        <v>0.67269999999999996</v>
      </c>
      <c r="L177" s="1016">
        <v>0.67269999999999996</v>
      </c>
      <c r="M177" s="1016">
        <v>0.67269999999999996</v>
      </c>
    </row>
    <row r="178" spans="1:13">
      <c r="A178" s="1007">
        <v>7.4</v>
      </c>
      <c r="B178" s="1016">
        <v>0.86450000000000005</v>
      </c>
      <c r="C178" s="1016">
        <v>0.86450000000000005</v>
      </c>
      <c r="D178" s="1016">
        <v>0.76529999999999998</v>
      </c>
      <c r="E178" s="1016">
        <v>0.76529999999999998</v>
      </c>
      <c r="F178" s="1016">
        <v>0.76529999999999998</v>
      </c>
      <c r="G178" s="1016">
        <v>0.76529999999999998</v>
      </c>
      <c r="H178" s="1016">
        <v>0.76529999999999998</v>
      </c>
      <c r="I178" s="1016">
        <v>0.67079999999999995</v>
      </c>
      <c r="J178" s="1016">
        <v>0.67079999999999995</v>
      </c>
      <c r="K178" s="1016">
        <v>0.67079999999999995</v>
      </c>
      <c r="L178" s="1016">
        <v>0.67079999999999995</v>
      </c>
      <c r="M178" s="1016">
        <v>0.67079999999999995</v>
      </c>
    </row>
    <row r="179" spans="1:13">
      <c r="A179" s="1007">
        <v>7.5</v>
      </c>
      <c r="B179" s="1016">
        <v>0.86299999999999999</v>
      </c>
      <c r="C179" s="1016">
        <v>0.86299999999999999</v>
      </c>
      <c r="D179" s="1016">
        <v>0.76359999999999995</v>
      </c>
      <c r="E179" s="1016">
        <v>0.76359999999999995</v>
      </c>
      <c r="F179" s="1016">
        <v>0.76359999999999995</v>
      </c>
      <c r="G179" s="1016">
        <v>0.76359999999999995</v>
      </c>
      <c r="H179" s="1016">
        <v>0.76359999999999995</v>
      </c>
      <c r="I179" s="1016">
        <v>0.66890000000000005</v>
      </c>
      <c r="J179" s="1016">
        <v>0.66890000000000005</v>
      </c>
      <c r="K179" s="1016">
        <v>0.66890000000000005</v>
      </c>
      <c r="L179" s="1016">
        <v>0.66890000000000005</v>
      </c>
      <c r="M179" s="1016">
        <v>0.66890000000000005</v>
      </c>
    </row>
    <row r="180" spans="1:13">
      <c r="A180" s="1007">
        <v>7.6</v>
      </c>
      <c r="B180" s="1016">
        <v>0.86150000000000004</v>
      </c>
      <c r="C180" s="1016">
        <v>0.86150000000000004</v>
      </c>
      <c r="D180" s="1016">
        <v>0.76200000000000001</v>
      </c>
      <c r="E180" s="1016">
        <v>0.76200000000000001</v>
      </c>
      <c r="F180" s="1016">
        <v>0.76200000000000001</v>
      </c>
      <c r="G180" s="1016">
        <v>0.76200000000000001</v>
      </c>
      <c r="H180" s="1016">
        <v>0.76200000000000001</v>
      </c>
      <c r="I180" s="1016">
        <v>0.66700000000000004</v>
      </c>
      <c r="J180" s="1016">
        <v>0.66700000000000004</v>
      </c>
      <c r="K180" s="1016">
        <v>0.66700000000000004</v>
      </c>
      <c r="L180" s="1016">
        <v>0.66700000000000004</v>
      </c>
      <c r="M180" s="1016">
        <v>0.66700000000000004</v>
      </c>
    </row>
    <row r="181" spans="1:13">
      <c r="A181" s="1007">
        <v>7.7</v>
      </c>
      <c r="B181" s="1016">
        <v>0.86</v>
      </c>
      <c r="C181" s="1016">
        <v>0.86</v>
      </c>
      <c r="D181" s="1016">
        <v>0.76039999999999996</v>
      </c>
      <c r="E181" s="1016">
        <v>0.76039999999999996</v>
      </c>
      <c r="F181" s="1016">
        <v>0.76039999999999996</v>
      </c>
      <c r="G181" s="1016">
        <v>0.76039999999999996</v>
      </c>
      <c r="H181" s="1016">
        <v>0.76039999999999996</v>
      </c>
      <c r="I181" s="1016">
        <v>0.66510000000000002</v>
      </c>
      <c r="J181" s="1016">
        <v>0.66510000000000002</v>
      </c>
      <c r="K181" s="1016">
        <v>0.66510000000000002</v>
      </c>
      <c r="L181" s="1016">
        <v>0.66510000000000002</v>
      </c>
      <c r="M181" s="1016">
        <v>0.66510000000000002</v>
      </c>
    </row>
    <row r="182" spans="1:13">
      <c r="A182" s="1007">
        <v>7.8</v>
      </c>
      <c r="B182" s="1016">
        <v>0.85850000000000004</v>
      </c>
      <c r="C182" s="1016">
        <v>0.85850000000000004</v>
      </c>
      <c r="D182" s="1016">
        <v>0.75880000000000003</v>
      </c>
      <c r="E182" s="1016">
        <v>0.75880000000000003</v>
      </c>
      <c r="F182" s="1016">
        <v>0.75880000000000003</v>
      </c>
      <c r="G182" s="1016">
        <v>0.75880000000000003</v>
      </c>
      <c r="H182" s="1016">
        <v>0.75880000000000003</v>
      </c>
      <c r="I182" s="1016">
        <v>0.6633</v>
      </c>
      <c r="J182" s="1016">
        <v>0.6633</v>
      </c>
      <c r="K182" s="1016">
        <v>0.6633</v>
      </c>
      <c r="L182" s="1016">
        <v>0.6633</v>
      </c>
      <c r="M182" s="1016">
        <v>0.6633</v>
      </c>
    </row>
    <row r="183" spans="1:13">
      <c r="A183" s="1007">
        <v>7.9</v>
      </c>
      <c r="B183" s="1016">
        <v>0.85699999999999998</v>
      </c>
      <c r="C183" s="1016">
        <v>0.85699999999999998</v>
      </c>
      <c r="D183" s="1016">
        <v>0.75719999999999998</v>
      </c>
      <c r="E183" s="1016">
        <v>0.75719999999999998</v>
      </c>
      <c r="F183" s="1016">
        <v>0.75719999999999998</v>
      </c>
      <c r="G183" s="1016">
        <v>0.75719999999999998</v>
      </c>
      <c r="H183" s="1016">
        <v>0.75719999999999998</v>
      </c>
      <c r="I183" s="1016">
        <v>0.66149999999999998</v>
      </c>
      <c r="J183" s="1016">
        <v>0.66149999999999998</v>
      </c>
      <c r="K183" s="1016">
        <v>0.66149999999999998</v>
      </c>
      <c r="L183" s="1016">
        <v>0.66149999999999998</v>
      </c>
      <c r="M183" s="1016">
        <v>0.66149999999999998</v>
      </c>
    </row>
    <row r="184" spans="1:13">
      <c r="A184" s="1007">
        <v>8</v>
      </c>
      <c r="B184" s="1016">
        <v>0.85550000000000004</v>
      </c>
      <c r="C184" s="1016">
        <v>0.85550000000000004</v>
      </c>
      <c r="D184" s="1016">
        <v>0.75570000000000004</v>
      </c>
      <c r="E184" s="1016">
        <v>0.75570000000000004</v>
      </c>
      <c r="F184" s="1016">
        <v>0.75570000000000004</v>
      </c>
      <c r="G184" s="1016">
        <v>0.75570000000000004</v>
      </c>
      <c r="H184" s="1016">
        <v>0.75570000000000004</v>
      </c>
      <c r="I184" s="1016">
        <v>0.65969999999999995</v>
      </c>
      <c r="J184" s="1016">
        <v>0.65969999999999995</v>
      </c>
      <c r="K184" s="1016">
        <v>0.65969999999999995</v>
      </c>
      <c r="L184" s="1016">
        <v>0.65969999999999995</v>
      </c>
      <c r="M184" s="1016">
        <v>0.65969999999999995</v>
      </c>
    </row>
    <row r="185" spans="1:13">
      <c r="A185" s="1007">
        <v>8.1</v>
      </c>
      <c r="B185" s="1016">
        <v>0.85399999999999998</v>
      </c>
      <c r="C185" s="1016">
        <v>0.85399999999999998</v>
      </c>
      <c r="D185" s="1016">
        <v>0.75419999999999998</v>
      </c>
      <c r="E185" s="1016">
        <v>0.75419999999999998</v>
      </c>
      <c r="F185" s="1016">
        <v>0.75419999999999998</v>
      </c>
      <c r="G185" s="1016">
        <v>0.75419999999999998</v>
      </c>
      <c r="H185" s="1016">
        <v>0.75419999999999998</v>
      </c>
      <c r="I185" s="1016">
        <v>0.65800000000000003</v>
      </c>
      <c r="J185" s="1016">
        <v>0.65800000000000003</v>
      </c>
      <c r="K185" s="1016">
        <v>0.65800000000000003</v>
      </c>
      <c r="L185" s="1016">
        <v>0.65800000000000003</v>
      </c>
      <c r="M185" s="1016">
        <v>0.65800000000000003</v>
      </c>
    </row>
    <row r="186" spans="1:13">
      <c r="A186" s="1007">
        <v>8.1999999999999993</v>
      </c>
      <c r="B186" s="1016">
        <v>0.85250000000000004</v>
      </c>
      <c r="C186" s="1016">
        <v>0.85250000000000004</v>
      </c>
      <c r="D186" s="1016">
        <v>0.75270000000000004</v>
      </c>
      <c r="E186" s="1016">
        <v>0.75270000000000004</v>
      </c>
      <c r="F186" s="1016">
        <v>0.75270000000000004</v>
      </c>
      <c r="G186" s="1016">
        <v>0.75270000000000004</v>
      </c>
      <c r="H186" s="1016">
        <v>0.75270000000000004</v>
      </c>
      <c r="I186" s="1016">
        <v>0.65629999999999999</v>
      </c>
      <c r="J186" s="1016">
        <v>0.65629999999999999</v>
      </c>
      <c r="K186" s="1016">
        <v>0.65629999999999999</v>
      </c>
      <c r="L186" s="1016">
        <v>0.65629999999999999</v>
      </c>
      <c r="M186" s="1016">
        <v>0.65629999999999999</v>
      </c>
    </row>
    <row r="187" spans="1:13">
      <c r="A187" s="1007">
        <v>8.3000000000000007</v>
      </c>
      <c r="B187" s="1016">
        <v>0.85109999999999997</v>
      </c>
      <c r="C187" s="1016">
        <v>0.85109999999999997</v>
      </c>
      <c r="D187" s="1016">
        <v>0.75119999999999998</v>
      </c>
      <c r="E187" s="1016">
        <v>0.75119999999999998</v>
      </c>
      <c r="F187" s="1016">
        <v>0.75119999999999998</v>
      </c>
      <c r="G187" s="1016">
        <v>0.75119999999999998</v>
      </c>
      <c r="H187" s="1016">
        <v>0.75119999999999998</v>
      </c>
      <c r="I187" s="1016">
        <v>0.65459999999999996</v>
      </c>
      <c r="J187" s="1016">
        <v>0.65459999999999996</v>
      </c>
      <c r="K187" s="1016">
        <v>0.65459999999999996</v>
      </c>
      <c r="L187" s="1016">
        <v>0.65459999999999996</v>
      </c>
      <c r="M187" s="1016">
        <v>0.65459999999999996</v>
      </c>
    </row>
    <row r="188" spans="1:13">
      <c r="A188" s="1007">
        <v>8.4</v>
      </c>
      <c r="B188" s="1016">
        <v>0.84970000000000001</v>
      </c>
      <c r="C188" s="1016">
        <v>0.84970000000000001</v>
      </c>
      <c r="D188" s="1016">
        <v>0.74970000000000003</v>
      </c>
      <c r="E188" s="1016">
        <v>0.74970000000000003</v>
      </c>
      <c r="F188" s="1016">
        <v>0.74970000000000003</v>
      </c>
      <c r="G188" s="1016">
        <v>0.74970000000000003</v>
      </c>
      <c r="H188" s="1016">
        <v>0.74970000000000003</v>
      </c>
      <c r="I188" s="1016">
        <v>0.65300000000000002</v>
      </c>
      <c r="J188" s="1016">
        <v>0.65300000000000002</v>
      </c>
      <c r="K188" s="1016">
        <v>0.65300000000000002</v>
      </c>
      <c r="L188" s="1016">
        <v>0.65300000000000002</v>
      </c>
      <c r="M188" s="1016">
        <v>0.65300000000000002</v>
      </c>
    </row>
    <row r="189" spans="1:13">
      <c r="A189" s="1007">
        <v>8.5</v>
      </c>
      <c r="B189" s="1016">
        <v>0.84830000000000005</v>
      </c>
      <c r="C189" s="1016">
        <v>0.84830000000000005</v>
      </c>
      <c r="D189" s="1016">
        <v>0.74819999999999998</v>
      </c>
      <c r="E189" s="1016">
        <v>0.74819999999999998</v>
      </c>
      <c r="F189" s="1016">
        <v>0.74819999999999998</v>
      </c>
      <c r="G189" s="1016">
        <v>0.74819999999999998</v>
      </c>
      <c r="H189" s="1016">
        <v>0.74819999999999998</v>
      </c>
      <c r="I189" s="1016">
        <v>0.65139999999999998</v>
      </c>
      <c r="J189" s="1016">
        <v>0.65139999999999998</v>
      </c>
      <c r="K189" s="1016">
        <v>0.65139999999999998</v>
      </c>
      <c r="L189" s="1016">
        <v>0.65139999999999998</v>
      </c>
      <c r="M189" s="1016">
        <v>0.65139999999999998</v>
      </c>
    </row>
    <row r="190" spans="1:13">
      <c r="A190" s="1007">
        <v>8.6</v>
      </c>
      <c r="B190" s="1016">
        <v>0.84689999999999999</v>
      </c>
      <c r="C190" s="1016">
        <v>0.84689999999999999</v>
      </c>
      <c r="D190" s="1016">
        <v>0.74670000000000003</v>
      </c>
      <c r="E190" s="1016">
        <v>0.74670000000000003</v>
      </c>
      <c r="F190" s="1016">
        <v>0.74670000000000003</v>
      </c>
      <c r="G190" s="1016">
        <v>0.74670000000000003</v>
      </c>
      <c r="H190" s="1016">
        <v>0.74670000000000003</v>
      </c>
      <c r="I190" s="1016">
        <v>0.64980000000000004</v>
      </c>
      <c r="J190" s="1016">
        <v>0.64980000000000004</v>
      </c>
      <c r="K190" s="1016">
        <v>0.64980000000000004</v>
      </c>
      <c r="L190" s="1016">
        <v>0.64980000000000004</v>
      </c>
      <c r="M190" s="1016">
        <v>0.64980000000000004</v>
      </c>
    </row>
    <row r="191" spans="1:13">
      <c r="A191" s="1007">
        <v>8.6999999999999993</v>
      </c>
      <c r="B191" s="1016">
        <v>0.84550000000000003</v>
      </c>
      <c r="C191" s="1016">
        <v>0.84550000000000003</v>
      </c>
      <c r="D191" s="1016">
        <v>0.74519999999999997</v>
      </c>
      <c r="E191" s="1016">
        <v>0.74519999999999997</v>
      </c>
      <c r="F191" s="1016">
        <v>0.74519999999999997</v>
      </c>
      <c r="G191" s="1016">
        <v>0.74519999999999997</v>
      </c>
      <c r="H191" s="1016">
        <v>0.74519999999999997</v>
      </c>
      <c r="I191" s="1016">
        <v>0.6482</v>
      </c>
      <c r="J191" s="1016">
        <v>0.6482</v>
      </c>
      <c r="K191" s="1016">
        <v>0.6482</v>
      </c>
      <c r="L191" s="1016">
        <v>0.6482</v>
      </c>
      <c r="M191" s="1016">
        <v>0.6482</v>
      </c>
    </row>
    <row r="192" spans="1:13">
      <c r="A192" s="1007">
        <v>8.8000000000000007</v>
      </c>
      <c r="B192" s="1016">
        <v>0.84409999999999996</v>
      </c>
      <c r="C192" s="1016">
        <v>0.84409999999999996</v>
      </c>
      <c r="D192" s="1016">
        <v>0.74370000000000003</v>
      </c>
      <c r="E192" s="1016">
        <v>0.74370000000000003</v>
      </c>
      <c r="F192" s="1016">
        <v>0.74370000000000003</v>
      </c>
      <c r="G192" s="1016">
        <v>0.74370000000000003</v>
      </c>
      <c r="H192" s="1016">
        <v>0.74370000000000003</v>
      </c>
      <c r="I192" s="1016">
        <v>0.64659999999999995</v>
      </c>
      <c r="J192" s="1016">
        <v>0.64659999999999995</v>
      </c>
      <c r="K192" s="1016">
        <v>0.64659999999999995</v>
      </c>
      <c r="L192" s="1016">
        <v>0.64659999999999995</v>
      </c>
      <c r="M192" s="1016">
        <v>0.64659999999999995</v>
      </c>
    </row>
    <row r="193" spans="1:13">
      <c r="A193" s="1007">
        <v>8.9</v>
      </c>
      <c r="B193" s="1016">
        <v>0.84279999999999999</v>
      </c>
      <c r="C193" s="1016">
        <v>0.84279999999999999</v>
      </c>
      <c r="D193" s="1016">
        <v>0.74219999999999997</v>
      </c>
      <c r="E193" s="1016">
        <v>0.74219999999999997</v>
      </c>
      <c r="F193" s="1016">
        <v>0.74219999999999997</v>
      </c>
      <c r="G193" s="1016">
        <v>0.74219999999999997</v>
      </c>
      <c r="H193" s="1016">
        <v>0.74219999999999997</v>
      </c>
      <c r="I193" s="1016">
        <v>0.64500000000000002</v>
      </c>
      <c r="J193" s="1016">
        <v>0.64500000000000002</v>
      </c>
      <c r="K193" s="1016">
        <v>0.64500000000000002</v>
      </c>
      <c r="L193" s="1016">
        <v>0.64500000000000002</v>
      </c>
      <c r="M193" s="1016">
        <v>0.64500000000000002</v>
      </c>
    </row>
    <row r="194" spans="1:13">
      <c r="A194" s="1031">
        <v>9</v>
      </c>
      <c r="B194" s="1016">
        <v>0.84150000000000003</v>
      </c>
      <c r="C194" s="1016">
        <v>0.84150000000000003</v>
      </c>
      <c r="D194" s="1016">
        <v>0.74070000000000003</v>
      </c>
      <c r="E194" s="1016">
        <v>0.74070000000000003</v>
      </c>
      <c r="F194" s="1016">
        <v>0.74070000000000003</v>
      </c>
      <c r="G194" s="1016">
        <v>0.74070000000000003</v>
      </c>
      <c r="H194" s="1016">
        <v>0.74070000000000003</v>
      </c>
      <c r="I194" s="1016">
        <v>0.64349999999999996</v>
      </c>
      <c r="J194" s="1016">
        <v>0.64349999999999996</v>
      </c>
      <c r="K194" s="1016">
        <v>0.64349999999999996</v>
      </c>
      <c r="L194" s="1016">
        <v>0.64349999999999996</v>
      </c>
      <c r="M194" s="1016">
        <v>0.64349999999999996</v>
      </c>
    </row>
    <row r="195" spans="1:13">
      <c r="A195" s="1031">
        <v>9.1</v>
      </c>
      <c r="B195" s="1016">
        <v>0.84019999999999995</v>
      </c>
      <c r="C195" s="1016">
        <v>0.84019999999999995</v>
      </c>
      <c r="D195" s="1016">
        <v>0.73919999999999997</v>
      </c>
      <c r="E195" s="1016">
        <v>0.73919999999999997</v>
      </c>
      <c r="F195" s="1016">
        <v>0.73919999999999997</v>
      </c>
      <c r="G195" s="1016">
        <v>0.73919999999999997</v>
      </c>
      <c r="H195" s="1016">
        <v>0.73919999999999997</v>
      </c>
      <c r="I195" s="1016">
        <v>0.64200000000000002</v>
      </c>
      <c r="J195" s="1016">
        <v>0.64200000000000002</v>
      </c>
      <c r="K195" s="1016">
        <v>0.64200000000000002</v>
      </c>
      <c r="L195" s="1016">
        <v>0.64200000000000002</v>
      </c>
      <c r="M195" s="1016">
        <v>0.64200000000000002</v>
      </c>
    </row>
    <row r="196" spans="1:13">
      <c r="A196" s="1031">
        <v>9.1999999999999993</v>
      </c>
      <c r="B196" s="1016">
        <v>0.83889999999999998</v>
      </c>
      <c r="C196" s="1016">
        <v>0.83889999999999998</v>
      </c>
      <c r="D196" s="1016">
        <v>0.73770000000000002</v>
      </c>
      <c r="E196" s="1016">
        <v>0.73770000000000002</v>
      </c>
      <c r="F196" s="1016">
        <v>0.73770000000000002</v>
      </c>
      <c r="G196" s="1016">
        <v>0.73770000000000002</v>
      </c>
      <c r="H196" s="1016">
        <v>0.73770000000000002</v>
      </c>
      <c r="I196" s="1016">
        <v>0.64059999999999995</v>
      </c>
      <c r="J196" s="1016">
        <v>0.64059999999999995</v>
      </c>
      <c r="K196" s="1016">
        <v>0.64059999999999995</v>
      </c>
      <c r="L196" s="1016">
        <v>0.64059999999999995</v>
      </c>
      <c r="M196" s="1016">
        <v>0.64059999999999995</v>
      </c>
    </row>
    <row r="197" spans="1:13">
      <c r="A197" s="1031">
        <v>9.3000000000000007</v>
      </c>
      <c r="B197" s="1016">
        <v>0.83760000000000001</v>
      </c>
      <c r="C197" s="1016">
        <v>0.83760000000000001</v>
      </c>
      <c r="D197" s="1016">
        <v>0.73629999999999995</v>
      </c>
      <c r="E197" s="1016">
        <v>0.73629999999999995</v>
      </c>
      <c r="F197" s="1016">
        <v>0.73629999999999995</v>
      </c>
      <c r="G197" s="1016">
        <v>0.73629999999999995</v>
      </c>
      <c r="H197" s="1016">
        <v>0.73629999999999995</v>
      </c>
      <c r="I197" s="1016">
        <v>0.63919999999999999</v>
      </c>
      <c r="J197" s="1016">
        <v>0.63919999999999999</v>
      </c>
      <c r="K197" s="1016">
        <v>0.63919999999999999</v>
      </c>
      <c r="L197" s="1016">
        <v>0.63919999999999999</v>
      </c>
      <c r="M197" s="1016">
        <v>0.63919999999999999</v>
      </c>
    </row>
    <row r="198" spans="1:13">
      <c r="A198" s="1031">
        <v>9.4</v>
      </c>
      <c r="B198" s="1016">
        <v>0.83630000000000004</v>
      </c>
      <c r="C198" s="1016">
        <v>0.83630000000000004</v>
      </c>
      <c r="D198" s="1016">
        <v>0.7349</v>
      </c>
      <c r="E198" s="1016">
        <v>0.7349</v>
      </c>
      <c r="F198" s="1016">
        <v>0.7349</v>
      </c>
      <c r="G198" s="1016">
        <v>0.7349</v>
      </c>
      <c r="H198" s="1016">
        <v>0.7349</v>
      </c>
      <c r="I198" s="1016">
        <v>0.63780000000000003</v>
      </c>
      <c r="J198" s="1016">
        <v>0.63780000000000003</v>
      </c>
      <c r="K198" s="1016">
        <v>0.63780000000000003</v>
      </c>
      <c r="L198" s="1016">
        <v>0.63780000000000003</v>
      </c>
      <c r="M198" s="1016">
        <v>0.63780000000000003</v>
      </c>
    </row>
    <row r="199" spans="1:13">
      <c r="A199" s="1031">
        <v>9.5</v>
      </c>
      <c r="B199" s="1016">
        <v>0.83499999999999996</v>
      </c>
      <c r="C199" s="1016">
        <v>0.83499999999999996</v>
      </c>
      <c r="D199" s="1016">
        <v>0.73350000000000004</v>
      </c>
      <c r="E199" s="1016">
        <v>0.73350000000000004</v>
      </c>
      <c r="F199" s="1016">
        <v>0.73350000000000004</v>
      </c>
      <c r="G199" s="1016">
        <v>0.73350000000000004</v>
      </c>
      <c r="H199" s="1016">
        <v>0.73350000000000004</v>
      </c>
      <c r="I199" s="1016">
        <v>0.63639999999999997</v>
      </c>
      <c r="J199" s="1016">
        <v>0.63639999999999997</v>
      </c>
      <c r="K199" s="1016">
        <v>0.63639999999999997</v>
      </c>
      <c r="L199" s="1016">
        <v>0.63639999999999997</v>
      </c>
      <c r="M199" s="1016">
        <v>0.63639999999999997</v>
      </c>
    </row>
    <row r="200" spans="1:13">
      <c r="A200" s="1031">
        <v>9.6</v>
      </c>
      <c r="B200" s="1016">
        <v>0.83379999999999999</v>
      </c>
      <c r="C200" s="1016">
        <v>0.83379999999999999</v>
      </c>
      <c r="D200" s="1016">
        <v>0.73209999999999997</v>
      </c>
      <c r="E200" s="1016">
        <v>0.73209999999999997</v>
      </c>
      <c r="F200" s="1016">
        <v>0.73209999999999997</v>
      </c>
      <c r="G200" s="1016">
        <v>0.73209999999999997</v>
      </c>
      <c r="H200" s="1016">
        <v>0.73209999999999997</v>
      </c>
      <c r="I200" s="1016">
        <v>0.63500000000000001</v>
      </c>
      <c r="J200" s="1016">
        <v>0.63500000000000001</v>
      </c>
      <c r="K200" s="1016">
        <v>0.63500000000000001</v>
      </c>
      <c r="L200" s="1016">
        <v>0.63500000000000001</v>
      </c>
      <c r="M200" s="1016">
        <v>0.63500000000000001</v>
      </c>
    </row>
    <row r="201" spans="1:13">
      <c r="A201" s="1031">
        <v>9.6999999999999993</v>
      </c>
      <c r="B201" s="1016">
        <v>0.83260000000000001</v>
      </c>
      <c r="C201" s="1016">
        <v>0.83260000000000001</v>
      </c>
      <c r="D201" s="1016">
        <v>0.73070000000000002</v>
      </c>
      <c r="E201" s="1016">
        <v>0.73070000000000002</v>
      </c>
      <c r="F201" s="1016">
        <v>0.73070000000000002</v>
      </c>
      <c r="G201" s="1016">
        <v>0.73070000000000002</v>
      </c>
      <c r="H201" s="1016">
        <v>0.73070000000000002</v>
      </c>
      <c r="I201" s="1016">
        <v>0.63360000000000005</v>
      </c>
      <c r="J201" s="1016">
        <v>0.63360000000000005</v>
      </c>
      <c r="K201" s="1016">
        <v>0.63360000000000005</v>
      </c>
      <c r="L201" s="1016">
        <v>0.63360000000000005</v>
      </c>
      <c r="M201" s="1016">
        <v>0.63360000000000005</v>
      </c>
    </row>
    <row r="202" spans="1:13">
      <c r="A202" s="1031">
        <v>9.8000000000000007</v>
      </c>
      <c r="B202" s="1016">
        <v>0.83140000000000003</v>
      </c>
      <c r="C202" s="1016">
        <v>0.83140000000000003</v>
      </c>
      <c r="D202" s="1016">
        <v>0.72929999999999995</v>
      </c>
      <c r="E202" s="1016">
        <v>0.72929999999999995</v>
      </c>
      <c r="F202" s="1016">
        <v>0.72929999999999995</v>
      </c>
      <c r="G202" s="1016">
        <v>0.72929999999999995</v>
      </c>
      <c r="H202" s="1016">
        <v>0.72929999999999995</v>
      </c>
      <c r="I202" s="1016">
        <v>0.63219999999999998</v>
      </c>
      <c r="J202" s="1016">
        <v>0.63219999999999998</v>
      </c>
      <c r="K202" s="1016">
        <v>0.63219999999999998</v>
      </c>
      <c r="L202" s="1016">
        <v>0.63219999999999998</v>
      </c>
      <c r="M202" s="1016">
        <v>0.63219999999999998</v>
      </c>
    </row>
    <row r="203" spans="1:13">
      <c r="A203" s="1031">
        <v>9.9</v>
      </c>
      <c r="B203" s="1016">
        <v>0.83020000000000005</v>
      </c>
      <c r="C203" s="1016">
        <v>0.83020000000000005</v>
      </c>
      <c r="D203" s="1016">
        <v>0.72799999999999998</v>
      </c>
      <c r="E203" s="1016">
        <v>0.72799999999999998</v>
      </c>
      <c r="F203" s="1016">
        <v>0.72799999999999998</v>
      </c>
      <c r="G203" s="1016">
        <v>0.72799999999999998</v>
      </c>
      <c r="H203" s="1016">
        <v>0.72799999999999998</v>
      </c>
      <c r="I203" s="1016">
        <v>0.63080000000000003</v>
      </c>
      <c r="J203" s="1016">
        <v>0.63080000000000003</v>
      </c>
      <c r="K203" s="1016">
        <v>0.63080000000000003</v>
      </c>
      <c r="L203" s="1016">
        <v>0.63080000000000003</v>
      </c>
      <c r="M203" s="1016">
        <v>0.63080000000000003</v>
      </c>
    </row>
    <row r="204" spans="1:13">
      <c r="A204" s="1031">
        <v>10</v>
      </c>
      <c r="B204" s="1016">
        <v>0.82899999999999996</v>
      </c>
      <c r="C204" s="1016">
        <v>0.82899999999999996</v>
      </c>
      <c r="D204" s="1016">
        <v>0.72670000000000001</v>
      </c>
      <c r="E204" s="1016">
        <v>0.72670000000000001</v>
      </c>
      <c r="F204" s="1016">
        <v>0.72670000000000001</v>
      </c>
      <c r="G204" s="1016">
        <v>0.72670000000000001</v>
      </c>
      <c r="H204" s="1016">
        <v>0.72670000000000001</v>
      </c>
      <c r="I204" s="1016">
        <v>0.62939999999999996</v>
      </c>
      <c r="J204" s="1016">
        <v>0.62939999999999996</v>
      </c>
      <c r="K204" s="1016">
        <v>0.62939999999999996</v>
      </c>
      <c r="L204" s="1016">
        <v>0.62939999999999996</v>
      </c>
      <c r="M204" s="1016">
        <v>0.62939999999999996</v>
      </c>
    </row>
    <row r="205" spans="1:13" ht="14.25">
      <c r="A205" s="1004" t="s">
        <v>898</v>
      </c>
      <c r="B205" s="1005"/>
      <c r="C205" s="1005"/>
      <c r="D205" s="1005"/>
      <c r="E205" s="1005"/>
      <c r="F205" s="1005"/>
      <c r="G205" s="1005"/>
      <c r="H205" s="1005"/>
      <c r="I205" s="1005"/>
      <c r="J205" s="1005"/>
      <c r="K205" s="1005"/>
      <c r="L205" s="1005"/>
      <c r="M205" s="1005"/>
    </row>
    <row r="206" spans="1:13">
      <c r="A206" s="1007" t="s">
        <v>899</v>
      </c>
      <c r="B206" s="1008" t="s">
        <v>900</v>
      </c>
      <c r="C206" s="1008" t="s">
        <v>901</v>
      </c>
      <c r="D206" s="1008" t="s">
        <v>902</v>
      </c>
      <c r="E206" s="1008" t="s">
        <v>903</v>
      </c>
      <c r="F206" s="1008" t="s">
        <v>904</v>
      </c>
      <c r="G206" s="1008" t="s">
        <v>905</v>
      </c>
      <c r="H206" s="1009" t="s">
        <v>906</v>
      </c>
      <c r="I206" s="1009" t="s">
        <v>907</v>
      </c>
      <c r="J206" s="1010" t="s">
        <v>908</v>
      </c>
      <c r="K206" s="1010" t="s">
        <v>909</v>
      </c>
      <c r="L206" s="1010" t="s">
        <v>910</v>
      </c>
      <c r="M206" s="1010" t="s">
        <v>911</v>
      </c>
    </row>
    <row r="207" spans="1:13">
      <c r="A207" s="1007">
        <v>0.1</v>
      </c>
      <c r="B207" s="1016">
        <v>12.172000000000001</v>
      </c>
      <c r="C207" s="1016">
        <v>12.172000000000001</v>
      </c>
      <c r="D207" s="1016">
        <v>12.375999999999999</v>
      </c>
      <c r="E207" s="1016">
        <v>12.375999999999999</v>
      </c>
      <c r="F207" s="1016">
        <v>12.375999999999999</v>
      </c>
      <c r="G207" s="1016">
        <v>12.375999999999999</v>
      </c>
      <c r="H207" s="1016">
        <v>12.375999999999999</v>
      </c>
      <c r="I207" s="1016">
        <v>11.071999999999999</v>
      </c>
      <c r="J207" s="1016">
        <v>11.071999999999999</v>
      </c>
      <c r="K207" s="1016">
        <v>11.071999999999999</v>
      </c>
      <c r="L207" s="1016">
        <v>11.071999999999999</v>
      </c>
      <c r="M207" s="1016">
        <v>11.071999999999999</v>
      </c>
    </row>
    <row r="208" spans="1:13">
      <c r="A208" s="1007">
        <v>0.2</v>
      </c>
      <c r="B208" s="1016">
        <v>6.0860000000000003</v>
      </c>
      <c r="C208" s="1016">
        <v>6.0860000000000003</v>
      </c>
      <c r="D208" s="1016">
        <v>6.1879999999999997</v>
      </c>
      <c r="E208" s="1016">
        <v>6.1879999999999997</v>
      </c>
      <c r="F208" s="1016">
        <v>6.1879999999999997</v>
      </c>
      <c r="G208" s="1016">
        <v>6.1879999999999997</v>
      </c>
      <c r="H208" s="1016">
        <v>6.1879999999999997</v>
      </c>
      <c r="I208" s="1016">
        <v>5.5359999999999996</v>
      </c>
      <c r="J208" s="1016">
        <v>5.5359999999999996</v>
      </c>
      <c r="K208" s="1016">
        <v>5.5359999999999996</v>
      </c>
      <c r="L208" s="1016">
        <v>5.5359999999999996</v>
      </c>
      <c r="M208" s="1016">
        <v>5.5359999999999996</v>
      </c>
    </row>
    <row r="209" spans="1:13">
      <c r="A209" s="1007">
        <v>0.3</v>
      </c>
      <c r="B209" s="1016">
        <v>4.0572999999999997</v>
      </c>
      <c r="C209" s="1016">
        <v>4.0572999999999997</v>
      </c>
      <c r="D209" s="1016">
        <v>4.1253000000000002</v>
      </c>
      <c r="E209" s="1016">
        <v>4.1253000000000002</v>
      </c>
      <c r="F209" s="1016">
        <v>4.1253000000000002</v>
      </c>
      <c r="G209" s="1016">
        <v>4.1253000000000002</v>
      </c>
      <c r="H209" s="1016">
        <v>4.1253000000000002</v>
      </c>
      <c r="I209" s="1016">
        <v>3.6907000000000001</v>
      </c>
      <c r="J209" s="1016">
        <v>3.6907000000000001</v>
      </c>
      <c r="K209" s="1016">
        <v>3.6907000000000001</v>
      </c>
      <c r="L209" s="1016">
        <v>3.6907000000000001</v>
      </c>
      <c r="M209" s="1016">
        <v>3.6907000000000001</v>
      </c>
    </row>
    <row r="210" spans="1:13">
      <c r="A210" s="1007">
        <v>0.4</v>
      </c>
      <c r="B210" s="1016">
        <v>3.0430000000000001</v>
      </c>
      <c r="C210" s="1016">
        <v>3.0430000000000001</v>
      </c>
      <c r="D210" s="1016">
        <v>3.0939999999999999</v>
      </c>
      <c r="E210" s="1016">
        <v>3.0939999999999999</v>
      </c>
      <c r="F210" s="1016">
        <v>3.0939999999999999</v>
      </c>
      <c r="G210" s="1016">
        <v>3.0939999999999999</v>
      </c>
      <c r="H210" s="1016">
        <v>3.0939999999999999</v>
      </c>
      <c r="I210" s="1016">
        <v>2.7679999999999998</v>
      </c>
      <c r="J210" s="1016">
        <v>2.7679999999999998</v>
      </c>
      <c r="K210" s="1016">
        <v>2.7679999999999998</v>
      </c>
      <c r="L210" s="1016">
        <v>2.7679999999999998</v>
      </c>
      <c r="M210" s="1016">
        <v>2.7679999999999998</v>
      </c>
    </row>
    <row r="211" spans="1:13">
      <c r="A211" s="1007">
        <v>0.5</v>
      </c>
      <c r="B211" s="1016">
        <v>2.4344000000000001</v>
      </c>
      <c r="C211" s="1016">
        <v>2.4344000000000001</v>
      </c>
      <c r="D211" s="1016">
        <v>2.4752000000000001</v>
      </c>
      <c r="E211" s="1016">
        <v>2.4752000000000001</v>
      </c>
      <c r="F211" s="1016">
        <v>2.4752000000000001</v>
      </c>
      <c r="G211" s="1016">
        <v>2.4752000000000001</v>
      </c>
      <c r="H211" s="1016">
        <v>2.4752000000000001</v>
      </c>
      <c r="I211" s="1016">
        <v>2.2143999999999999</v>
      </c>
      <c r="J211" s="1016">
        <v>2.2143999999999999</v>
      </c>
      <c r="K211" s="1016">
        <v>2.2143999999999999</v>
      </c>
      <c r="L211" s="1016">
        <v>2.2143999999999999</v>
      </c>
      <c r="M211" s="1016">
        <v>2.2143999999999999</v>
      </c>
    </row>
    <row r="212" spans="1:13">
      <c r="A212" s="1007">
        <v>0.6</v>
      </c>
      <c r="B212" s="1016">
        <v>2.0287000000000002</v>
      </c>
      <c r="C212" s="1016">
        <v>2.0287000000000002</v>
      </c>
      <c r="D212" s="1016">
        <v>2.0627</v>
      </c>
      <c r="E212" s="1016">
        <v>2.0627</v>
      </c>
      <c r="F212" s="1016">
        <v>2.0627</v>
      </c>
      <c r="G212" s="1016">
        <v>2.0627</v>
      </c>
      <c r="H212" s="1016">
        <v>2.0627</v>
      </c>
      <c r="I212" s="1016">
        <v>1.8452999999999999</v>
      </c>
      <c r="J212" s="1016">
        <v>1.8452999999999999</v>
      </c>
      <c r="K212" s="1016">
        <v>1.8452999999999999</v>
      </c>
      <c r="L212" s="1016">
        <v>1.8452999999999999</v>
      </c>
      <c r="M212" s="1016">
        <v>1.8452999999999999</v>
      </c>
    </row>
    <row r="213" spans="1:13">
      <c r="A213" s="1007">
        <v>0.7</v>
      </c>
      <c r="B213" s="1016">
        <v>1.7388999999999999</v>
      </c>
      <c r="C213" s="1016">
        <v>1.7388999999999999</v>
      </c>
      <c r="D213" s="1016">
        <v>1.768</v>
      </c>
      <c r="E213" s="1016">
        <v>1.768</v>
      </c>
      <c r="F213" s="1016">
        <v>1.768</v>
      </c>
      <c r="G213" s="1016">
        <v>1.768</v>
      </c>
      <c r="H213" s="1016">
        <v>1.768</v>
      </c>
      <c r="I213" s="1016">
        <v>1.5817000000000001</v>
      </c>
      <c r="J213" s="1016">
        <v>1.5817000000000001</v>
      </c>
      <c r="K213" s="1016">
        <v>1.5817000000000001</v>
      </c>
      <c r="L213" s="1016">
        <v>1.5817000000000001</v>
      </c>
      <c r="M213" s="1016">
        <v>1.5817000000000001</v>
      </c>
    </row>
    <row r="214" spans="1:13">
      <c r="A214" s="1007">
        <v>0.8</v>
      </c>
      <c r="B214" s="1016">
        <v>1.5215000000000001</v>
      </c>
      <c r="C214" s="1016">
        <v>1.5215000000000001</v>
      </c>
      <c r="D214" s="1016">
        <v>1.5469999999999999</v>
      </c>
      <c r="E214" s="1016">
        <v>1.5469999999999999</v>
      </c>
      <c r="F214" s="1016">
        <v>1.5469999999999999</v>
      </c>
      <c r="G214" s="1016">
        <v>1.5469999999999999</v>
      </c>
      <c r="H214" s="1016">
        <v>1.5469999999999999</v>
      </c>
      <c r="I214" s="1016">
        <v>1.3839999999999999</v>
      </c>
      <c r="J214" s="1016">
        <v>1.3839999999999999</v>
      </c>
      <c r="K214" s="1016">
        <v>1.3839999999999999</v>
      </c>
      <c r="L214" s="1016">
        <v>1.3839999999999999</v>
      </c>
      <c r="M214" s="1016">
        <v>1.3839999999999999</v>
      </c>
    </row>
    <row r="215" spans="1:13">
      <c r="A215" s="1007">
        <v>0.9</v>
      </c>
      <c r="B215" s="1016">
        <v>1.3524</v>
      </c>
      <c r="C215" s="1016">
        <v>1.3524</v>
      </c>
      <c r="D215" s="1016">
        <v>1.3751</v>
      </c>
      <c r="E215" s="1016">
        <v>1.3751</v>
      </c>
      <c r="F215" s="1016">
        <v>1.3751</v>
      </c>
      <c r="G215" s="1016">
        <v>1.3751</v>
      </c>
      <c r="H215" s="1016">
        <v>1.3751</v>
      </c>
      <c r="I215" s="1016">
        <v>1.2302</v>
      </c>
      <c r="J215" s="1016">
        <v>1.2302</v>
      </c>
      <c r="K215" s="1016">
        <v>1.2302</v>
      </c>
      <c r="L215" s="1016">
        <v>1.2302</v>
      </c>
      <c r="M215" s="1016">
        <v>1.2302</v>
      </c>
    </row>
    <row r="216" spans="1:13">
      <c r="A216" s="1007">
        <v>1</v>
      </c>
      <c r="B216" s="1016">
        <v>1.2172000000000001</v>
      </c>
      <c r="C216" s="1016">
        <v>1.2172000000000001</v>
      </c>
      <c r="D216" s="1016">
        <v>1.2376</v>
      </c>
      <c r="E216" s="1016">
        <v>1.2376</v>
      </c>
      <c r="F216" s="1016">
        <v>1.2376</v>
      </c>
      <c r="G216" s="1016">
        <v>1.2376</v>
      </c>
      <c r="H216" s="1016">
        <v>1.2376</v>
      </c>
      <c r="I216" s="1016">
        <v>1.1072</v>
      </c>
      <c r="J216" s="1016">
        <v>1.1072</v>
      </c>
      <c r="K216" s="1016">
        <v>1.1072</v>
      </c>
      <c r="L216" s="1016">
        <v>1.1072</v>
      </c>
      <c r="M216" s="1016">
        <v>1.1072</v>
      </c>
    </row>
    <row r="217" spans="1:13">
      <c r="A217" s="1007">
        <v>1.1000000000000001</v>
      </c>
      <c r="B217" s="1016">
        <v>1.198</v>
      </c>
      <c r="C217" s="1016">
        <v>1.198</v>
      </c>
      <c r="D217" s="1016">
        <v>1.2156</v>
      </c>
      <c r="E217" s="1016">
        <v>1.2156</v>
      </c>
      <c r="F217" s="1016">
        <v>1.2156</v>
      </c>
      <c r="G217" s="1016">
        <v>1.2156</v>
      </c>
      <c r="H217" s="1016">
        <v>1.2156</v>
      </c>
      <c r="I217" s="1016">
        <v>1.0829</v>
      </c>
      <c r="J217" s="1016">
        <v>1.0829</v>
      </c>
      <c r="K217" s="1016">
        <v>1.0829</v>
      </c>
      <c r="L217" s="1016">
        <v>1.0829</v>
      </c>
      <c r="M217" s="1016">
        <v>1.0829</v>
      </c>
    </row>
    <row r="218" spans="1:13">
      <c r="A218" s="1007">
        <v>1.2</v>
      </c>
      <c r="B218" s="1016">
        <v>1.1795</v>
      </c>
      <c r="C218" s="1016">
        <v>1.1795</v>
      </c>
      <c r="D218" s="1016">
        <v>1.1947000000000001</v>
      </c>
      <c r="E218" s="1016">
        <v>1.1947000000000001</v>
      </c>
      <c r="F218" s="1016">
        <v>1.1947000000000001</v>
      </c>
      <c r="G218" s="1016">
        <v>1.1947000000000001</v>
      </c>
      <c r="H218" s="1016">
        <v>1.1947000000000001</v>
      </c>
      <c r="I218" s="1016">
        <v>1.0601</v>
      </c>
      <c r="J218" s="1016">
        <v>1.0601</v>
      </c>
      <c r="K218" s="1016">
        <v>1.0601</v>
      </c>
      <c r="L218" s="1016">
        <v>1.0601</v>
      </c>
      <c r="M218" s="1016">
        <v>1.0601</v>
      </c>
    </row>
    <row r="219" spans="1:13">
      <c r="A219" s="1007">
        <v>1.3</v>
      </c>
      <c r="B219" s="1016">
        <v>1.1617999999999999</v>
      </c>
      <c r="C219" s="1016">
        <v>1.1617999999999999</v>
      </c>
      <c r="D219" s="1016">
        <v>1.1748000000000001</v>
      </c>
      <c r="E219" s="1016">
        <v>1.1748000000000001</v>
      </c>
      <c r="F219" s="1016">
        <v>1.1748000000000001</v>
      </c>
      <c r="G219" s="1016">
        <v>1.1748000000000001</v>
      </c>
      <c r="H219" s="1016">
        <v>1.1748000000000001</v>
      </c>
      <c r="I219" s="1016">
        <v>1.0387999999999999</v>
      </c>
      <c r="J219" s="1016">
        <v>1.0387999999999999</v>
      </c>
      <c r="K219" s="1016">
        <v>1.0387999999999999</v>
      </c>
      <c r="L219" s="1016">
        <v>1.0387999999999999</v>
      </c>
      <c r="M219" s="1016">
        <v>1.0387999999999999</v>
      </c>
    </row>
    <row r="220" spans="1:13">
      <c r="A220" s="1007">
        <v>1.4</v>
      </c>
      <c r="B220" s="1016">
        <v>1.1448</v>
      </c>
      <c r="C220" s="1016">
        <v>1.1448</v>
      </c>
      <c r="D220" s="1016">
        <v>1.1557999999999999</v>
      </c>
      <c r="E220" s="1016">
        <v>1.1557999999999999</v>
      </c>
      <c r="F220" s="1016">
        <v>1.1557999999999999</v>
      </c>
      <c r="G220" s="1016">
        <v>1.1557999999999999</v>
      </c>
      <c r="H220" s="1016">
        <v>1.1557999999999999</v>
      </c>
      <c r="I220" s="1016">
        <v>1.0187999999999999</v>
      </c>
      <c r="J220" s="1016">
        <v>1.0187999999999999</v>
      </c>
      <c r="K220" s="1016">
        <v>1.0187999999999999</v>
      </c>
      <c r="L220" s="1016">
        <v>1.0187999999999999</v>
      </c>
      <c r="M220" s="1016">
        <v>1.0187999999999999</v>
      </c>
    </row>
    <row r="221" spans="1:13">
      <c r="A221" s="1007">
        <v>1.5</v>
      </c>
      <c r="B221" s="1016">
        <v>1.1285000000000001</v>
      </c>
      <c r="C221" s="1016">
        <v>1.1285000000000001</v>
      </c>
      <c r="D221" s="1016">
        <v>1.1377999999999999</v>
      </c>
      <c r="E221" s="1016">
        <v>1.1377999999999999</v>
      </c>
      <c r="F221" s="1016">
        <v>1.1377999999999999</v>
      </c>
      <c r="G221" s="1016">
        <v>1.1377999999999999</v>
      </c>
      <c r="H221" s="1016">
        <v>1.1377999999999999</v>
      </c>
      <c r="I221" s="1016">
        <v>1</v>
      </c>
      <c r="J221" s="1016">
        <v>1</v>
      </c>
      <c r="K221" s="1016">
        <v>1</v>
      </c>
      <c r="L221" s="1016">
        <v>1</v>
      </c>
      <c r="M221" s="1016">
        <v>1</v>
      </c>
    </row>
    <row r="222" spans="1:13">
      <c r="A222" s="1007">
        <v>1.6</v>
      </c>
      <c r="B222" s="1016">
        <v>1.1129</v>
      </c>
      <c r="C222" s="1016">
        <v>1.1129</v>
      </c>
      <c r="D222" s="1016">
        <v>1.1206</v>
      </c>
      <c r="E222" s="1016">
        <v>1.1206</v>
      </c>
      <c r="F222" s="1016">
        <v>1.1206</v>
      </c>
      <c r="G222" s="1016">
        <v>1.1206</v>
      </c>
      <c r="H222" s="1016">
        <v>1.1206</v>
      </c>
      <c r="I222" s="1016">
        <v>0.98240000000000005</v>
      </c>
      <c r="J222" s="1016">
        <v>0.98240000000000005</v>
      </c>
      <c r="K222" s="1016">
        <v>0.98240000000000005</v>
      </c>
      <c r="L222" s="1016">
        <v>0.98240000000000005</v>
      </c>
      <c r="M222" s="1016">
        <v>0.98240000000000005</v>
      </c>
    </row>
    <row r="223" spans="1:13">
      <c r="A223" s="1007">
        <v>1.7</v>
      </c>
      <c r="B223" s="1016">
        <v>1.0980000000000001</v>
      </c>
      <c r="C223" s="1016">
        <v>1.0980000000000001</v>
      </c>
      <c r="D223" s="1016">
        <v>1.1043000000000001</v>
      </c>
      <c r="E223" s="1016">
        <v>1.1043000000000001</v>
      </c>
      <c r="F223" s="1016">
        <v>1.1043000000000001</v>
      </c>
      <c r="G223" s="1016">
        <v>1.1043000000000001</v>
      </c>
      <c r="H223" s="1016">
        <v>1.1043000000000001</v>
      </c>
      <c r="I223" s="1016">
        <v>0.96579999999999999</v>
      </c>
      <c r="J223" s="1016">
        <v>0.96579999999999999</v>
      </c>
      <c r="K223" s="1016">
        <v>0.96579999999999999</v>
      </c>
      <c r="L223" s="1016">
        <v>0.96579999999999999</v>
      </c>
      <c r="M223" s="1016">
        <v>0.96579999999999999</v>
      </c>
    </row>
    <row r="224" spans="1:13">
      <c r="A224" s="1007">
        <v>1.8</v>
      </c>
      <c r="B224" s="1016">
        <v>1.0835999999999999</v>
      </c>
      <c r="C224" s="1016">
        <v>1.0835999999999999</v>
      </c>
      <c r="D224" s="1016">
        <v>1.0888</v>
      </c>
      <c r="E224" s="1016">
        <v>1.0888</v>
      </c>
      <c r="F224" s="1016">
        <v>1.0888</v>
      </c>
      <c r="G224" s="1016">
        <v>1.0888</v>
      </c>
      <c r="H224" s="1016">
        <v>1.0888</v>
      </c>
      <c r="I224" s="1016">
        <v>0.95030000000000003</v>
      </c>
      <c r="J224" s="1016">
        <v>0.95030000000000003</v>
      </c>
      <c r="K224" s="1016">
        <v>0.95030000000000003</v>
      </c>
      <c r="L224" s="1016">
        <v>0.95030000000000003</v>
      </c>
      <c r="M224" s="1016">
        <v>0.95030000000000003</v>
      </c>
    </row>
    <row r="225" spans="1:13">
      <c r="A225" s="1007">
        <v>1.9</v>
      </c>
      <c r="B225" s="1016">
        <v>1.0698000000000001</v>
      </c>
      <c r="C225" s="1016">
        <v>1.0698000000000001</v>
      </c>
      <c r="D225" s="1016">
        <v>1.0741000000000001</v>
      </c>
      <c r="E225" s="1016">
        <v>1.0741000000000001</v>
      </c>
      <c r="F225" s="1016">
        <v>1.0741000000000001</v>
      </c>
      <c r="G225" s="1016">
        <v>1.0741000000000001</v>
      </c>
      <c r="H225" s="1016">
        <v>1.0741000000000001</v>
      </c>
      <c r="I225" s="1016">
        <v>0.93610000000000004</v>
      </c>
      <c r="J225" s="1016">
        <v>0.93610000000000004</v>
      </c>
      <c r="K225" s="1016">
        <v>0.93610000000000004</v>
      </c>
      <c r="L225" s="1016">
        <v>0.93610000000000004</v>
      </c>
      <c r="M225" s="1016">
        <v>0.93610000000000004</v>
      </c>
    </row>
    <row r="226" spans="1:13">
      <c r="A226" s="1007">
        <v>2</v>
      </c>
      <c r="B226" s="1016">
        <v>1.0568</v>
      </c>
      <c r="C226" s="1016">
        <v>1.0568</v>
      </c>
      <c r="D226" s="1016">
        <v>1.0601</v>
      </c>
      <c r="E226" s="1016">
        <v>1.0601</v>
      </c>
      <c r="F226" s="1016">
        <v>1.0601</v>
      </c>
      <c r="G226" s="1016">
        <v>1.0601</v>
      </c>
      <c r="H226" s="1016">
        <v>1.0601</v>
      </c>
      <c r="I226" s="1016">
        <v>0.9224</v>
      </c>
      <c r="J226" s="1016">
        <v>0.9224</v>
      </c>
      <c r="K226" s="1016">
        <v>0.9224</v>
      </c>
      <c r="L226" s="1016">
        <v>0.9224</v>
      </c>
      <c r="M226" s="1016">
        <v>0.9224</v>
      </c>
    </row>
    <row r="227" spans="1:13">
      <c r="A227" s="1031">
        <v>2.1</v>
      </c>
      <c r="B227" s="1016">
        <v>1.0443</v>
      </c>
      <c r="C227" s="1016">
        <v>1.0443</v>
      </c>
      <c r="D227" s="1016">
        <v>1.0468</v>
      </c>
      <c r="E227" s="1016">
        <v>1.0468</v>
      </c>
      <c r="F227" s="1016">
        <v>1.0468</v>
      </c>
      <c r="G227" s="1016">
        <v>1.0468</v>
      </c>
      <c r="H227" s="1016">
        <v>1.0468</v>
      </c>
      <c r="I227" s="1016">
        <v>0.90959999999999996</v>
      </c>
      <c r="J227" s="1016">
        <v>0.90959999999999996</v>
      </c>
      <c r="K227" s="1016">
        <v>0.90959999999999996</v>
      </c>
      <c r="L227" s="1016">
        <v>0.90959999999999996</v>
      </c>
      <c r="M227" s="1016">
        <v>0.90959999999999996</v>
      </c>
    </row>
    <row r="228" spans="1:13">
      <c r="A228" s="1031">
        <v>2.2000000000000002</v>
      </c>
      <c r="B228" s="1016">
        <v>1.0325</v>
      </c>
      <c r="C228" s="1016">
        <v>1.0325</v>
      </c>
      <c r="D228" s="1016">
        <v>1.0342</v>
      </c>
      <c r="E228" s="1016">
        <v>1.0342</v>
      </c>
      <c r="F228" s="1016">
        <v>1.0342</v>
      </c>
      <c r="G228" s="1016">
        <v>1.0342</v>
      </c>
      <c r="H228" s="1016">
        <v>1.0342</v>
      </c>
      <c r="I228" s="1016">
        <v>0.89749999999999996</v>
      </c>
      <c r="J228" s="1016">
        <v>0.89749999999999996</v>
      </c>
      <c r="K228" s="1016">
        <v>0.89749999999999996</v>
      </c>
      <c r="L228" s="1016">
        <v>0.89749999999999996</v>
      </c>
      <c r="M228" s="1016">
        <v>0.89749999999999996</v>
      </c>
    </row>
    <row r="229" spans="1:13">
      <c r="A229" s="1031">
        <v>2.2999999999999998</v>
      </c>
      <c r="B229" s="1016">
        <v>1.0209999999999999</v>
      </c>
      <c r="C229" s="1016">
        <v>1.0209999999999999</v>
      </c>
      <c r="D229" s="1016">
        <v>1.0222</v>
      </c>
      <c r="E229" s="1016">
        <v>1.0222</v>
      </c>
      <c r="F229" s="1016">
        <v>1.0222</v>
      </c>
      <c r="G229" s="1016">
        <v>1.0222</v>
      </c>
      <c r="H229" s="1016">
        <v>1.0222</v>
      </c>
      <c r="I229" s="1016">
        <v>0.88619999999999999</v>
      </c>
      <c r="J229" s="1016">
        <v>0.88619999999999999</v>
      </c>
      <c r="K229" s="1016">
        <v>0.88619999999999999</v>
      </c>
      <c r="L229" s="1016">
        <v>0.88619999999999999</v>
      </c>
      <c r="M229" s="1016">
        <v>0.88619999999999999</v>
      </c>
    </row>
    <row r="230" spans="1:13">
      <c r="A230" s="1031">
        <v>2.4</v>
      </c>
      <c r="B230" s="1016">
        <v>1.0102</v>
      </c>
      <c r="C230" s="1016">
        <v>1.0102</v>
      </c>
      <c r="D230" s="1016">
        <v>1.0107999999999999</v>
      </c>
      <c r="E230" s="1016">
        <v>1.0107999999999999</v>
      </c>
      <c r="F230" s="1016">
        <v>1.0107999999999999</v>
      </c>
      <c r="G230" s="1016">
        <v>1.0107999999999999</v>
      </c>
      <c r="H230" s="1016">
        <v>1.0107999999999999</v>
      </c>
      <c r="I230" s="1016">
        <v>0.87529999999999997</v>
      </c>
      <c r="J230" s="1016">
        <v>0.87529999999999997</v>
      </c>
      <c r="K230" s="1016">
        <v>0.87529999999999997</v>
      </c>
      <c r="L230" s="1016">
        <v>0.87529999999999997</v>
      </c>
      <c r="M230" s="1016">
        <v>0.87529999999999997</v>
      </c>
    </row>
    <row r="231" spans="1:13">
      <c r="A231" s="1031">
        <v>2.5</v>
      </c>
      <c r="B231" s="1016">
        <v>1</v>
      </c>
      <c r="C231" s="1016">
        <v>1</v>
      </c>
      <c r="D231" s="1016">
        <v>1</v>
      </c>
      <c r="E231" s="1016">
        <v>1</v>
      </c>
      <c r="F231" s="1016">
        <v>1</v>
      </c>
      <c r="G231" s="1016">
        <v>1</v>
      </c>
      <c r="H231" s="1016">
        <v>1</v>
      </c>
      <c r="I231" s="1016">
        <v>0.86509999999999998</v>
      </c>
      <c r="J231" s="1016">
        <v>0.86509999999999998</v>
      </c>
      <c r="K231" s="1016">
        <v>0.86509999999999998</v>
      </c>
      <c r="L231" s="1016">
        <v>0.86509999999999998</v>
      </c>
      <c r="M231" s="1016">
        <v>0.86509999999999998</v>
      </c>
    </row>
    <row r="232" spans="1:13">
      <c r="A232" s="1031">
        <v>2.6</v>
      </c>
      <c r="B232" s="1016">
        <v>0.99029999999999996</v>
      </c>
      <c r="C232" s="1016">
        <v>0.99029999999999996</v>
      </c>
      <c r="D232" s="1016">
        <v>0.98970000000000002</v>
      </c>
      <c r="E232" s="1016">
        <v>0.98970000000000002</v>
      </c>
      <c r="F232" s="1016">
        <v>0.98970000000000002</v>
      </c>
      <c r="G232" s="1016">
        <v>0.98970000000000002</v>
      </c>
      <c r="H232" s="1016">
        <v>0.98970000000000002</v>
      </c>
      <c r="I232" s="1016">
        <v>0.85529999999999995</v>
      </c>
      <c r="J232" s="1016">
        <v>0.85529999999999995</v>
      </c>
      <c r="K232" s="1016">
        <v>0.85529999999999995</v>
      </c>
      <c r="L232" s="1016">
        <v>0.85529999999999995</v>
      </c>
      <c r="M232" s="1016">
        <v>0.85529999999999995</v>
      </c>
    </row>
    <row r="233" spans="1:13">
      <c r="A233" s="1031">
        <v>2.7</v>
      </c>
      <c r="B233" s="1016">
        <v>0.98109999999999997</v>
      </c>
      <c r="C233" s="1016">
        <v>0.98109999999999997</v>
      </c>
      <c r="D233" s="1016">
        <v>0.97989999999999999</v>
      </c>
      <c r="E233" s="1016">
        <v>0.97989999999999999</v>
      </c>
      <c r="F233" s="1016">
        <v>0.97989999999999999</v>
      </c>
      <c r="G233" s="1016">
        <v>0.97989999999999999</v>
      </c>
      <c r="H233" s="1016">
        <v>0.97989999999999999</v>
      </c>
      <c r="I233" s="1016">
        <v>0.84599999999999997</v>
      </c>
      <c r="J233" s="1016">
        <v>0.84599999999999997</v>
      </c>
      <c r="K233" s="1016">
        <v>0.84599999999999997</v>
      </c>
      <c r="L233" s="1016">
        <v>0.84599999999999997</v>
      </c>
      <c r="M233" s="1016">
        <v>0.84599999999999997</v>
      </c>
    </row>
    <row r="234" spans="1:13">
      <c r="A234" s="1031">
        <v>2.8</v>
      </c>
      <c r="B234" s="1016">
        <v>0.97240000000000004</v>
      </c>
      <c r="C234" s="1016">
        <v>0.97240000000000004</v>
      </c>
      <c r="D234" s="1016">
        <v>0.97060000000000002</v>
      </c>
      <c r="E234" s="1016">
        <v>0.97060000000000002</v>
      </c>
      <c r="F234" s="1016">
        <v>0.97060000000000002</v>
      </c>
      <c r="G234" s="1016">
        <v>0.97060000000000002</v>
      </c>
      <c r="H234" s="1016">
        <v>0.97060000000000002</v>
      </c>
      <c r="I234" s="1016">
        <v>0.83709999999999996</v>
      </c>
      <c r="J234" s="1016">
        <v>0.83709999999999996</v>
      </c>
      <c r="K234" s="1016">
        <v>0.83709999999999996</v>
      </c>
      <c r="L234" s="1016">
        <v>0.83709999999999996</v>
      </c>
      <c r="M234" s="1016">
        <v>0.83709999999999996</v>
      </c>
    </row>
    <row r="235" spans="1:13">
      <c r="A235" s="1031">
        <v>2.9</v>
      </c>
      <c r="B235" s="1016">
        <v>0.96419999999999995</v>
      </c>
      <c r="C235" s="1016">
        <v>0.96419999999999995</v>
      </c>
      <c r="D235" s="1016">
        <v>0.96179999999999999</v>
      </c>
      <c r="E235" s="1016">
        <v>0.96179999999999999</v>
      </c>
      <c r="F235" s="1016">
        <v>0.96179999999999999</v>
      </c>
      <c r="G235" s="1016">
        <v>0.96179999999999999</v>
      </c>
      <c r="H235" s="1016">
        <v>0.96179999999999999</v>
      </c>
      <c r="I235" s="1016">
        <v>0.82850000000000001</v>
      </c>
      <c r="J235" s="1016">
        <v>0.82850000000000001</v>
      </c>
      <c r="K235" s="1016">
        <v>0.82850000000000001</v>
      </c>
      <c r="L235" s="1016">
        <v>0.82850000000000001</v>
      </c>
      <c r="M235" s="1016">
        <v>0.82850000000000001</v>
      </c>
    </row>
    <row r="236" spans="1:13">
      <c r="A236" s="1031">
        <v>3</v>
      </c>
      <c r="B236" s="1016">
        <v>0.95640000000000003</v>
      </c>
      <c r="C236" s="1016">
        <v>0.95640000000000003</v>
      </c>
      <c r="D236" s="1016">
        <v>0.95340000000000003</v>
      </c>
      <c r="E236" s="1016">
        <v>0.95340000000000003</v>
      </c>
      <c r="F236" s="1016">
        <v>0.95340000000000003</v>
      </c>
      <c r="G236" s="1016">
        <v>0.95340000000000003</v>
      </c>
      <c r="H236" s="1016">
        <v>0.95340000000000003</v>
      </c>
      <c r="I236" s="1016">
        <v>0.82040000000000002</v>
      </c>
      <c r="J236" s="1016">
        <v>0.82040000000000002</v>
      </c>
      <c r="K236" s="1016">
        <v>0.82040000000000002</v>
      </c>
      <c r="L236" s="1016">
        <v>0.82040000000000002</v>
      </c>
      <c r="M236" s="1016">
        <v>0.82040000000000002</v>
      </c>
    </row>
    <row r="237" spans="1:13">
      <c r="A237" s="1031">
        <v>3.1</v>
      </c>
      <c r="B237" s="1016">
        <v>0.94899999999999995</v>
      </c>
      <c r="C237" s="1016">
        <v>0.94899999999999995</v>
      </c>
      <c r="D237" s="1016">
        <v>0.94550000000000001</v>
      </c>
      <c r="E237" s="1016">
        <v>0.94550000000000001</v>
      </c>
      <c r="F237" s="1016">
        <v>0.94550000000000001</v>
      </c>
      <c r="G237" s="1016">
        <v>0.94550000000000001</v>
      </c>
      <c r="H237" s="1016">
        <v>0.94550000000000001</v>
      </c>
      <c r="I237" s="1016">
        <v>0.81259999999999999</v>
      </c>
      <c r="J237" s="1016">
        <v>0.81259999999999999</v>
      </c>
      <c r="K237" s="1016">
        <v>0.81259999999999999</v>
      </c>
      <c r="L237" s="1016">
        <v>0.81259999999999999</v>
      </c>
      <c r="M237" s="1016">
        <v>0.81259999999999999</v>
      </c>
    </row>
    <row r="238" spans="1:13">
      <c r="A238" s="1031">
        <v>3.2</v>
      </c>
      <c r="B238" s="1016">
        <v>0.94199999999999995</v>
      </c>
      <c r="C238" s="1016">
        <v>0.94199999999999995</v>
      </c>
      <c r="D238" s="1016">
        <v>0.93789999999999996</v>
      </c>
      <c r="E238" s="1016">
        <v>0.93789999999999996</v>
      </c>
      <c r="F238" s="1016">
        <v>0.93789999999999996</v>
      </c>
      <c r="G238" s="1016">
        <v>0.93789999999999996</v>
      </c>
      <c r="H238" s="1016">
        <v>0.93789999999999996</v>
      </c>
      <c r="I238" s="1016">
        <v>0.80530000000000002</v>
      </c>
      <c r="J238" s="1016">
        <v>0.80530000000000002</v>
      </c>
      <c r="K238" s="1016">
        <v>0.80530000000000002</v>
      </c>
      <c r="L238" s="1016">
        <v>0.80530000000000002</v>
      </c>
      <c r="M238" s="1016">
        <v>0.80530000000000002</v>
      </c>
    </row>
    <row r="239" spans="1:13">
      <c r="A239" s="1031">
        <v>3.3</v>
      </c>
      <c r="B239" s="1016">
        <v>0.93540000000000001</v>
      </c>
      <c r="C239" s="1016">
        <v>0.93540000000000001</v>
      </c>
      <c r="D239" s="1016">
        <v>0.93069999999999997</v>
      </c>
      <c r="E239" s="1016">
        <v>0.93069999999999997</v>
      </c>
      <c r="F239" s="1016">
        <v>0.93069999999999997</v>
      </c>
      <c r="G239" s="1016">
        <v>0.93069999999999997</v>
      </c>
      <c r="H239" s="1016">
        <v>0.93069999999999997</v>
      </c>
      <c r="I239" s="1016">
        <v>0.79820000000000002</v>
      </c>
      <c r="J239" s="1016">
        <v>0.79820000000000002</v>
      </c>
      <c r="K239" s="1016">
        <v>0.79820000000000002</v>
      </c>
      <c r="L239" s="1016">
        <v>0.79820000000000002</v>
      </c>
      <c r="M239" s="1016">
        <v>0.79820000000000002</v>
      </c>
    </row>
    <row r="240" spans="1:13">
      <c r="A240" s="1031">
        <v>3.4</v>
      </c>
      <c r="B240" s="1016">
        <v>0.92920000000000003</v>
      </c>
      <c r="C240" s="1016">
        <v>0.92920000000000003</v>
      </c>
      <c r="D240" s="1016">
        <v>0.92390000000000005</v>
      </c>
      <c r="E240" s="1016">
        <v>0.92390000000000005</v>
      </c>
      <c r="F240" s="1016">
        <v>0.92390000000000005</v>
      </c>
      <c r="G240" s="1016">
        <v>0.92390000000000005</v>
      </c>
      <c r="H240" s="1016">
        <v>0.92390000000000005</v>
      </c>
      <c r="I240" s="1016">
        <v>0.79139999999999999</v>
      </c>
      <c r="J240" s="1016">
        <v>0.79139999999999999</v>
      </c>
      <c r="K240" s="1016">
        <v>0.79139999999999999</v>
      </c>
      <c r="L240" s="1016">
        <v>0.79139999999999999</v>
      </c>
      <c r="M240" s="1016">
        <v>0.79139999999999999</v>
      </c>
    </row>
    <row r="241" spans="1:13">
      <c r="A241" s="1031">
        <v>3.5</v>
      </c>
      <c r="B241" s="1016">
        <v>0.9234</v>
      </c>
      <c r="C241" s="1016">
        <v>0.9234</v>
      </c>
      <c r="D241" s="1016">
        <v>0.91749999999999998</v>
      </c>
      <c r="E241" s="1016">
        <v>0.91749999999999998</v>
      </c>
      <c r="F241" s="1016">
        <v>0.91749999999999998</v>
      </c>
      <c r="G241" s="1016">
        <v>0.91749999999999998</v>
      </c>
      <c r="H241" s="1016">
        <v>0.91749999999999998</v>
      </c>
      <c r="I241" s="1016">
        <v>0.78490000000000004</v>
      </c>
      <c r="J241" s="1016">
        <v>0.78490000000000004</v>
      </c>
      <c r="K241" s="1016">
        <v>0.78490000000000004</v>
      </c>
      <c r="L241" s="1016">
        <v>0.78490000000000004</v>
      </c>
      <c r="M241" s="1016">
        <v>0.78490000000000004</v>
      </c>
    </row>
    <row r="242" spans="1:13">
      <c r="A242" s="1031">
        <v>3.6</v>
      </c>
      <c r="B242" s="1016">
        <v>0.91790000000000005</v>
      </c>
      <c r="C242" s="1016">
        <v>0.91790000000000005</v>
      </c>
      <c r="D242" s="1016">
        <v>0.91139999999999999</v>
      </c>
      <c r="E242" s="1016">
        <v>0.91139999999999999</v>
      </c>
      <c r="F242" s="1016">
        <v>0.91139999999999999</v>
      </c>
      <c r="G242" s="1016">
        <v>0.91139999999999999</v>
      </c>
      <c r="H242" s="1016">
        <v>0.91139999999999999</v>
      </c>
      <c r="I242" s="1016">
        <v>0.77880000000000005</v>
      </c>
      <c r="J242" s="1016">
        <v>0.77880000000000005</v>
      </c>
      <c r="K242" s="1016">
        <v>0.77880000000000005</v>
      </c>
      <c r="L242" s="1016">
        <v>0.77880000000000005</v>
      </c>
      <c r="M242" s="1016">
        <v>0.77880000000000005</v>
      </c>
    </row>
    <row r="243" spans="1:13">
      <c r="A243" s="1031">
        <v>3.7</v>
      </c>
      <c r="B243" s="1016">
        <v>0.91269999999999996</v>
      </c>
      <c r="C243" s="1016">
        <v>0.91269999999999996</v>
      </c>
      <c r="D243" s="1016">
        <v>0.90559999999999996</v>
      </c>
      <c r="E243" s="1016">
        <v>0.90559999999999996</v>
      </c>
      <c r="F243" s="1016">
        <v>0.90559999999999996</v>
      </c>
      <c r="G243" s="1016">
        <v>0.90559999999999996</v>
      </c>
      <c r="H243" s="1016">
        <v>0.90559999999999996</v>
      </c>
      <c r="I243" s="1016">
        <v>0.77300000000000002</v>
      </c>
      <c r="J243" s="1016">
        <v>0.77300000000000002</v>
      </c>
      <c r="K243" s="1016">
        <v>0.77300000000000002</v>
      </c>
      <c r="L243" s="1016">
        <v>0.77300000000000002</v>
      </c>
      <c r="M243" s="1016">
        <v>0.77300000000000002</v>
      </c>
    </row>
    <row r="244" spans="1:13">
      <c r="A244" s="1031">
        <v>3.8</v>
      </c>
      <c r="B244" s="1016">
        <v>0.90780000000000005</v>
      </c>
      <c r="C244" s="1016">
        <v>0.90780000000000005</v>
      </c>
      <c r="D244" s="1016">
        <v>0.90010000000000001</v>
      </c>
      <c r="E244" s="1016">
        <v>0.90010000000000001</v>
      </c>
      <c r="F244" s="1016">
        <v>0.90010000000000001</v>
      </c>
      <c r="G244" s="1016">
        <v>0.90010000000000001</v>
      </c>
      <c r="H244" s="1016">
        <v>0.90010000000000001</v>
      </c>
      <c r="I244" s="1016">
        <v>0.76739999999999997</v>
      </c>
      <c r="J244" s="1016">
        <v>0.76739999999999997</v>
      </c>
      <c r="K244" s="1016">
        <v>0.76739999999999997</v>
      </c>
      <c r="L244" s="1016">
        <v>0.76739999999999997</v>
      </c>
      <c r="M244" s="1016">
        <v>0.76739999999999997</v>
      </c>
    </row>
    <row r="245" spans="1:13">
      <c r="A245" s="1031">
        <v>3.9</v>
      </c>
      <c r="B245" s="1016">
        <v>0.9032</v>
      </c>
      <c r="C245" s="1016">
        <v>0.9032</v>
      </c>
      <c r="D245" s="1016">
        <v>0.89490000000000003</v>
      </c>
      <c r="E245" s="1016">
        <v>0.89490000000000003</v>
      </c>
      <c r="F245" s="1016">
        <v>0.89490000000000003</v>
      </c>
      <c r="G245" s="1016">
        <v>0.89490000000000003</v>
      </c>
      <c r="H245" s="1016">
        <v>0.89490000000000003</v>
      </c>
      <c r="I245" s="1016">
        <v>0.7621</v>
      </c>
      <c r="J245" s="1016">
        <v>0.7621</v>
      </c>
      <c r="K245" s="1016">
        <v>0.7621</v>
      </c>
      <c r="L245" s="1016">
        <v>0.7621</v>
      </c>
      <c r="M245" s="1016">
        <v>0.7621</v>
      </c>
    </row>
    <row r="246" spans="1:13">
      <c r="A246" s="1031">
        <v>4</v>
      </c>
      <c r="B246" s="1016">
        <v>0.89890000000000003</v>
      </c>
      <c r="C246" s="1016">
        <v>0.89890000000000003</v>
      </c>
      <c r="D246" s="1016">
        <v>0.89</v>
      </c>
      <c r="E246" s="1016">
        <v>0.89</v>
      </c>
      <c r="F246" s="1016">
        <v>0.89</v>
      </c>
      <c r="G246" s="1016">
        <v>0.89</v>
      </c>
      <c r="H246" s="1016">
        <v>0.89</v>
      </c>
      <c r="I246" s="1016">
        <v>0.7571</v>
      </c>
      <c r="J246" s="1016">
        <v>0.7571</v>
      </c>
      <c r="K246" s="1016">
        <v>0.7571</v>
      </c>
      <c r="L246" s="1016">
        <v>0.7571</v>
      </c>
      <c r="M246" s="1016">
        <v>0.7571</v>
      </c>
    </row>
    <row r="247" spans="1:13">
      <c r="A247" s="1031">
        <v>4.0999999999999996</v>
      </c>
      <c r="B247" s="1016">
        <v>0.89480000000000004</v>
      </c>
      <c r="C247" s="1016">
        <v>0.89480000000000004</v>
      </c>
      <c r="D247" s="1016">
        <v>0.88539999999999996</v>
      </c>
      <c r="E247" s="1016">
        <v>0.88539999999999996</v>
      </c>
      <c r="F247" s="1016">
        <v>0.88539999999999996</v>
      </c>
      <c r="G247" s="1016">
        <v>0.88539999999999996</v>
      </c>
      <c r="H247" s="1016">
        <v>0.88539999999999996</v>
      </c>
      <c r="I247" s="1016">
        <v>0.75229999999999997</v>
      </c>
      <c r="J247" s="1016">
        <v>0.75229999999999997</v>
      </c>
      <c r="K247" s="1016">
        <v>0.75229999999999997</v>
      </c>
      <c r="L247" s="1016">
        <v>0.75229999999999997</v>
      </c>
      <c r="M247" s="1016">
        <v>0.75229999999999997</v>
      </c>
    </row>
    <row r="248" spans="1:13">
      <c r="A248" s="1031">
        <v>4.2</v>
      </c>
      <c r="B248" s="1016">
        <v>0.89100000000000001</v>
      </c>
      <c r="C248" s="1016">
        <v>0.89100000000000001</v>
      </c>
      <c r="D248" s="1016">
        <v>0.88109999999999999</v>
      </c>
      <c r="E248" s="1016">
        <v>0.88109999999999999</v>
      </c>
      <c r="F248" s="1016">
        <v>0.88109999999999999</v>
      </c>
      <c r="G248" s="1016">
        <v>0.88109999999999999</v>
      </c>
      <c r="H248" s="1016">
        <v>0.88109999999999999</v>
      </c>
      <c r="I248" s="1016">
        <v>0.74780000000000002</v>
      </c>
      <c r="J248" s="1016">
        <v>0.74780000000000002</v>
      </c>
      <c r="K248" s="1016">
        <v>0.74780000000000002</v>
      </c>
      <c r="L248" s="1016">
        <v>0.74780000000000002</v>
      </c>
      <c r="M248" s="1016">
        <v>0.74780000000000002</v>
      </c>
    </row>
    <row r="249" spans="1:13">
      <c r="A249" s="1031">
        <v>4.3</v>
      </c>
      <c r="B249" s="1016">
        <v>0.88739999999999997</v>
      </c>
      <c r="C249" s="1016">
        <v>0.88739999999999997</v>
      </c>
      <c r="D249" s="1016">
        <v>0.877</v>
      </c>
      <c r="E249" s="1016">
        <v>0.877</v>
      </c>
      <c r="F249" s="1016">
        <v>0.877</v>
      </c>
      <c r="G249" s="1016">
        <v>0.877</v>
      </c>
      <c r="H249" s="1016">
        <v>0.877</v>
      </c>
      <c r="I249" s="1016">
        <v>0.74329999999999996</v>
      </c>
      <c r="J249" s="1016">
        <v>0.74329999999999996</v>
      </c>
      <c r="K249" s="1016">
        <v>0.74329999999999996</v>
      </c>
      <c r="L249" s="1016">
        <v>0.74329999999999996</v>
      </c>
      <c r="M249" s="1016">
        <v>0.74329999999999996</v>
      </c>
    </row>
    <row r="250" spans="1:13">
      <c r="A250" s="1031">
        <v>4.4000000000000004</v>
      </c>
      <c r="B250" s="1016">
        <v>0.88400000000000001</v>
      </c>
      <c r="C250" s="1016">
        <v>0.88400000000000001</v>
      </c>
      <c r="D250" s="1016">
        <v>0.87309999999999999</v>
      </c>
      <c r="E250" s="1016">
        <v>0.87309999999999999</v>
      </c>
      <c r="F250" s="1016">
        <v>0.87309999999999999</v>
      </c>
      <c r="G250" s="1016">
        <v>0.87309999999999999</v>
      </c>
      <c r="H250" s="1016">
        <v>0.87309999999999999</v>
      </c>
      <c r="I250" s="1016">
        <v>0.73909999999999998</v>
      </c>
      <c r="J250" s="1016">
        <v>0.73909999999999998</v>
      </c>
      <c r="K250" s="1016">
        <v>0.73909999999999998</v>
      </c>
      <c r="L250" s="1016">
        <v>0.73909999999999998</v>
      </c>
      <c r="M250" s="1016">
        <v>0.73909999999999998</v>
      </c>
    </row>
    <row r="251" spans="1:13">
      <c r="A251" s="1031">
        <v>4.5</v>
      </c>
      <c r="B251" s="1016">
        <v>0.88080000000000003</v>
      </c>
      <c r="C251" s="1016">
        <v>0.88080000000000003</v>
      </c>
      <c r="D251" s="1016">
        <v>0.86939999999999995</v>
      </c>
      <c r="E251" s="1016">
        <v>0.86939999999999995</v>
      </c>
      <c r="F251" s="1016">
        <v>0.86939999999999995</v>
      </c>
      <c r="G251" s="1016">
        <v>0.86939999999999995</v>
      </c>
      <c r="H251" s="1016">
        <v>0.86939999999999995</v>
      </c>
      <c r="I251" s="1016">
        <v>0.73499999999999999</v>
      </c>
      <c r="J251" s="1016">
        <v>0.73499999999999999</v>
      </c>
      <c r="K251" s="1016">
        <v>0.73499999999999999</v>
      </c>
      <c r="L251" s="1016">
        <v>0.73499999999999999</v>
      </c>
      <c r="M251" s="1016">
        <v>0.73499999999999999</v>
      </c>
    </row>
    <row r="252" spans="1:13">
      <c r="A252" s="1031">
        <v>4.5999999999999996</v>
      </c>
      <c r="B252" s="1016">
        <v>0.87780000000000002</v>
      </c>
      <c r="C252" s="1016">
        <v>0.87780000000000002</v>
      </c>
      <c r="D252" s="1016">
        <v>0.8659</v>
      </c>
      <c r="E252" s="1016">
        <v>0.8659</v>
      </c>
      <c r="F252" s="1016">
        <v>0.8659</v>
      </c>
      <c r="G252" s="1016">
        <v>0.8659</v>
      </c>
      <c r="H252" s="1016">
        <v>0.8659</v>
      </c>
      <c r="I252" s="1016">
        <v>0.73109999999999997</v>
      </c>
      <c r="J252" s="1016">
        <v>0.73109999999999997</v>
      </c>
      <c r="K252" s="1016">
        <v>0.73109999999999997</v>
      </c>
      <c r="L252" s="1016">
        <v>0.73109999999999997</v>
      </c>
      <c r="M252" s="1016">
        <v>0.73109999999999997</v>
      </c>
    </row>
    <row r="253" spans="1:13">
      <c r="A253" s="1031">
        <v>4.7</v>
      </c>
      <c r="B253" s="1016">
        <v>0.875</v>
      </c>
      <c r="C253" s="1016">
        <v>0.875</v>
      </c>
      <c r="D253" s="1016">
        <v>0.86260000000000003</v>
      </c>
      <c r="E253" s="1016">
        <v>0.86260000000000003</v>
      </c>
      <c r="F253" s="1016">
        <v>0.86260000000000003</v>
      </c>
      <c r="G253" s="1016">
        <v>0.86260000000000003</v>
      </c>
      <c r="H253" s="1016">
        <v>0.86260000000000003</v>
      </c>
      <c r="I253" s="1016">
        <v>0.72750000000000004</v>
      </c>
      <c r="J253" s="1016">
        <v>0.72750000000000004</v>
      </c>
      <c r="K253" s="1016">
        <v>0.72750000000000004</v>
      </c>
      <c r="L253" s="1016">
        <v>0.72750000000000004</v>
      </c>
      <c r="M253" s="1016">
        <v>0.72750000000000004</v>
      </c>
    </row>
    <row r="254" spans="1:13">
      <c r="A254" s="1031">
        <v>4.8</v>
      </c>
      <c r="B254" s="1016">
        <v>0.87229999999999996</v>
      </c>
      <c r="C254" s="1016">
        <v>0.87229999999999996</v>
      </c>
      <c r="D254" s="1016">
        <v>0.85950000000000004</v>
      </c>
      <c r="E254" s="1016">
        <v>0.85950000000000004</v>
      </c>
      <c r="F254" s="1016">
        <v>0.85950000000000004</v>
      </c>
      <c r="G254" s="1016">
        <v>0.85950000000000004</v>
      </c>
      <c r="H254" s="1016">
        <v>0.85950000000000004</v>
      </c>
      <c r="I254" s="1016">
        <v>0.72399999999999998</v>
      </c>
      <c r="J254" s="1016">
        <v>0.72399999999999998</v>
      </c>
      <c r="K254" s="1016">
        <v>0.72399999999999998</v>
      </c>
      <c r="L254" s="1016">
        <v>0.72399999999999998</v>
      </c>
      <c r="M254" s="1016">
        <v>0.72399999999999998</v>
      </c>
    </row>
    <row r="255" spans="1:13">
      <c r="A255" s="1031">
        <v>4.9000000000000004</v>
      </c>
      <c r="B255" s="1016">
        <v>0.86980000000000002</v>
      </c>
      <c r="C255" s="1016">
        <v>0.86980000000000002</v>
      </c>
      <c r="D255" s="1016">
        <v>0.85660000000000003</v>
      </c>
      <c r="E255" s="1016">
        <v>0.85660000000000003</v>
      </c>
      <c r="F255" s="1016">
        <v>0.85660000000000003</v>
      </c>
      <c r="G255" s="1016">
        <v>0.85660000000000003</v>
      </c>
      <c r="H255" s="1016">
        <v>0.85660000000000003</v>
      </c>
      <c r="I255" s="1016">
        <v>0.7208</v>
      </c>
      <c r="J255" s="1016">
        <v>0.7208</v>
      </c>
      <c r="K255" s="1016">
        <v>0.7208</v>
      </c>
      <c r="L255" s="1016">
        <v>0.7208</v>
      </c>
      <c r="M255" s="1016">
        <v>0.7208</v>
      </c>
    </row>
    <row r="256" spans="1:13">
      <c r="A256" s="1031">
        <v>5</v>
      </c>
      <c r="B256" s="1016">
        <v>0.86739999999999995</v>
      </c>
      <c r="C256" s="1016">
        <v>0.86739999999999995</v>
      </c>
      <c r="D256" s="1016">
        <v>0.8538</v>
      </c>
      <c r="E256" s="1016">
        <v>0.8538</v>
      </c>
      <c r="F256" s="1016">
        <v>0.8538</v>
      </c>
      <c r="G256" s="1016">
        <v>0.8538</v>
      </c>
      <c r="H256" s="1016">
        <v>0.8538</v>
      </c>
      <c r="I256" s="1016">
        <v>0.71760000000000002</v>
      </c>
      <c r="J256" s="1016">
        <v>0.71760000000000002</v>
      </c>
      <c r="K256" s="1016">
        <v>0.71760000000000002</v>
      </c>
      <c r="L256" s="1016">
        <v>0.71760000000000002</v>
      </c>
      <c r="M256" s="1016">
        <v>0.71760000000000002</v>
      </c>
    </row>
    <row r="257" spans="1:13">
      <c r="A257" s="1007">
        <v>5.0999999999999996</v>
      </c>
      <c r="B257" s="1016">
        <v>0.86519999999999997</v>
      </c>
      <c r="C257" s="1016">
        <v>0.86519999999999997</v>
      </c>
      <c r="D257" s="1016">
        <v>0.85109999999999997</v>
      </c>
      <c r="E257" s="1016">
        <v>0.85109999999999997</v>
      </c>
      <c r="F257" s="1016">
        <v>0.85109999999999997</v>
      </c>
      <c r="G257" s="1016">
        <v>0.85109999999999997</v>
      </c>
      <c r="H257" s="1016">
        <v>0.85109999999999997</v>
      </c>
      <c r="I257" s="1016">
        <v>0.7147</v>
      </c>
      <c r="J257" s="1016">
        <v>0.7147</v>
      </c>
      <c r="K257" s="1016">
        <v>0.7147</v>
      </c>
      <c r="L257" s="1016">
        <v>0.7147</v>
      </c>
      <c r="M257" s="1016">
        <v>0.7147</v>
      </c>
    </row>
    <row r="258" spans="1:13">
      <c r="A258" s="1007">
        <v>5.2</v>
      </c>
      <c r="B258" s="1016">
        <v>0.86309999999999998</v>
      </c>
      <c r="C258" s="1016">
        <v>0.86309999999999998</v>
      </c>
      <c r="D258" s="1016">
        <v>0.84860000000000002</v>
      </c>
      <c r="E258" s="1016">
        <v>0.84860000000000002</v>
      </c>
      <c r="F258" s="1016">
        <v>0.84860000000000002</v>
      </c>
      <c r="G258" s="1016">
        <v>0.84860000000000002</v>
      </c>
      <c r="H258" s="1016">
        <v>0.84860000000000002</v>
      </c>
      <c r="I258" s="1016">
        <v>0.71189999999999998</v>
      </c>
      <c r="J258" s="1016">
        <v>0.71189999999999998</v>
      </c>
      <c r="K258" s="1016">
        <v>0.71189999999999998</v>
      </c>
      <c r="L258" s="1016">
        <v>0.71189999999999998</v>
      </c>
      <c r="M258" s="1016">
        <v>0.71189999999999998</v>
      </c>
    </row>
    <row r="259" spans="1:13">
      <c r="A259" s="1007">
        <v>5.3</v>
      </c>
      <c r="B259" s="1016">
        <v>0.86119999999999997</v>
      </c>
      <c r="C259" s="1016">
        <v>0.86119999999999997</v>
      </c>
      <c r="D259" s="1016">
        <v>0.84619999999999995</v>
      </c>
      <c r="E259" s="1016">
        <v>0.84619999999999995</v>
      </c>
      <c r="F259" s="1016">
        <v>0.84619999999999995</v>
      </c>
      <c r="G259" s="1016">
        <v>0.84619999999999995</v>
      </c>
      <c r="H259" s="1016">
        <v>0.84619999999999995</v>
      </c>
      <c r="I259" s="1016">
        <v>0.70909999999999995</v>
      </c>
      <c r="J259" s="1016">
        <v>0.70909999999999995</v>
      </c>
      <c r="K259" s="1016">
        <v>0.70909999999999995</v>
      </c>
      <c r="L259" s="1016">
        <v>0.70909999999999995</v>
      </c>
      <c r="M259" s="1016">
        <v>0.70909999999999995</v>
      </c>
    </row>
    <row r="260" spans="1:13">
      <c r="A260" s="1007">
        <v>5.4</v>
      </c>
      <c r="B260" s="1016">
        <v>0.85940000000000005</v>
      </c>
      <c r="C260" s="1016">
        <v>0.85940000000000005</v>
      </c>
      <c r="D260" s="1016">
        <v>0.84389999999999998</v>
      </c>
      <c r="E260" s="1016">
        <v>0.84389999999999998</v>
      </c>
      <c r="F260" s="1016">
        <v>0.84389999999999998</v>
      </c>
      <c r="G260" s="1016">
        <v>0.84389999999999998</v>
      </c>
      <c r="H260" s="1016">
        <v>0.84389999999999998</v>
      </c>
      <c r="I260" s="1016">
        <v>0.70650000000000002</v>
      </c>
      <c r="J260" s="1016">
        <v>0.70650000000000002</v>
      </c>
      <c r="K260" s="1016">
        <v>0.70650000000000002</v>
      </c>
      <c r="L260" s="1016">
        <v>0.70650000000000002</v>
      </c>
      <c r="M260" s="1016">
        <v>0.70650000000000002</v>
      </c>
    </row>
    <row r="261" spans="1:13">
      <c r="A261" s="1007">
        <v>5.5</v>
      </c>
      <c r="B261" s="1016">
        <v>0.85770000000000002</v>
      </c>
      <c r="C261" s="1016">
        <v>0.85770000000000002</v>
      </c>
      <c r="D261" s="1016">
        <v>0.84179999999999999</v>
      </c>
      <c r="E261" s="1016">
        <v>0.84179999999999999</v>
      </c>
      <c r="F261" s="1016">
        <v>0.84179999999999999</v>
      </c>
      <c r="G261" s="1016">
        <v>0.84179999999999999</v>
      </c>
      <c r="H261" s="1016">
        <v>0.84179999999999999</v>
      </c>
      <c r="I261" s="1016">
        <v>0.70399999999999996</v>
      </c>
      <c r="J261" s="1016">
        <v>0.70399999999999996</v>
      </c>
      <c r="K261" s="1016">
        <v>0.70399999999999996</v>
      </c>
      <c r="L261" s="1016">
        <v>0.70399999999999996</v>
      </c>
      <c r="M261" s="1016">
        <v>0.70399999999999996</v>
      </c>
    </row>
    <row r="262" spans="1:13">
      <c r="A262" s="1007">
        <v>5.6</v>
      </c>
      <c r="B262" s="1016">
        <v>0.85599999999999998</v>
      </c>
      <c r="C262" s="1016">
        <v>0.85599999999999998</v>
      </c>
      <c r="D262" s="1016">
        <v>0.83979999999999999</v>
      </c>
      <c r="E262" s="1016">
        <v>0.83979999999999999</v>
      </c>
      <c r="F262" s="1016">
        <v>0.83979999999999999</v>
      </c>
      <c r="G262" s="1016">
        <v>0.83979999999999999</v>
      </c>
      <c r="H262" s="1016">
        <v>0.83979999999999999</v>
      </c>
      <c r="I262" s="1016">
        <v>0.7016</v>
      </c>
      <c r="J262" s="1016">
        <v>0.7016</v>
      </c>
      <c r="K262" s="1016">
        <v>0.7016</v>
      </c>
      <c r="L262" s="1016">
        <v>0.7016</v>
      </c>
      <c r="M262" s="1016">
        <v>0.7016</v>
      </c>
    </row>
    <row r="263" spans="1:13">
      <c r="A263" s="1031">
        <v>5.7</v>
      </c>
      <c r="B263" s="1016">
        <v>0.85440000000000005</v>
      </c>
      <c r="C263" s="1016">
        <v>0.85440000000000005</v>
      </c>
      <c r="D263" s="1016">
        <v>0.83789999999999998</v>
      </c>
      <c r="E263" s="1016">
        <v>0.83789999999999998</v>
      </c>
      <c r="F263" s="1016">
        <v>0.83789999999999998</v>
      </c>
      <c r="G263" s="1016">
        <v>0.83789999999999998</v>
      </c>
      <c r="H263" s="1016">
        <v>0.83789999999999998</v>
      </c>
      <c r="I263" s="1016">
        <v>0.69940000000000002</v>
      </c>
      <c r="J263" s="1016">
        <v>0.69940000000000002</v>
      </c>
      <c r="K263" s="1016">
        <v>0.69940000000000002</v>
      </c>
      <c r="L263" s="1016">
        <v>0.69940000000000002</v>
      </c>
      <c r="M263" s="1016">
        <v>0.69940000000000002</v>
      </c>
    </row>
    <row r="264" spans="1:13">
      <c r="A264" s="1007">
        <v>5.8</v>
      </c>
      <c r="B264" s="1016">
        <v>0.85289999999999999</v>
      </c>
      <c r="C264" s="1016">
        <v>0.85289999999999999</v>
      </c>
      <c r="D264" s="1016">
        <v>0.83599999999999997</v>
      </c>
      <c r="E264" s="1016">
        <v>0.83599999999999997</v>
      </c>
      <c r="F264" s="1016">
        <v>0.83599999999999997</v>
      </c>
      <c r="G264" s="1016">
        <v>0.83599999999999997</v>
      </c>
      <c r="H264" s="1016">
        <v>0.83599999999999997</v>
      </c>
      <c r="I264" s="1016">
        <v>0.69720000000000004</v>
      </c>
      <c r="J264" s="1016">
        <v>0.69720000000000004</v>
      </c>
      <c r="K264" s="1016">
        <v>0.69720000000000004</v>
      </c>
      <c r="L264" s="1016">
        <v>0.69720000000000004</v>
      </c>
      <c r="M264" s="1016">
        <v>0.69720000000000004</v>
      </c>
    </row>
    <row r="265" spans="1:13">
      <c r="A265" s="1007">
        <v>5.9</v>
      </c>
      <c r="B265" s="1016">
        <v>0.85150000000000003</v>
      </c>
      <c r="C265" s="1016">
        <v>0.85150000000000003</v>
      </c>
      <c r="D265" s="1016">
        <v>0.83430000000000004</v>
      </c>
      <c r="E265" s="1016">
        <v>0.83430000000000004</v>
      </c>
      <c r="F265" s="1016">
        <v>0.83430000000000004</v>
      </c>
      <c r="G265" s="1016">
        <v>0.83430000000000004</v>
      </c>
      <c r="H265" s="1016">
        <v>0.83430000000000004</v>
      </c>
      <c r="I265" s="1016">
        <v>0.69520000000000004</v>
      </c>
      <c r="J265" s="1016">
        <v>0.69520000000000004</v>
      </c>
      <c r="K265" s="1016">
        <v>0.69520000000000004</v>
      </c>
      <c r="L265" s="1016">
        <v>0.69520000000000004</v>
      </c>
      <c r="M265" s="1016">
        <v>0.69520000000000004</v>
      </c>
    </row>
    <row r="266" spans="1:13">
      <c r="A266" s="1007">
        <v>6</v>
      </c>
      <c r="B266" s="1016">
        <v>0.85019999999999996</v>
      </c>
      <c r="C266" s="1016">
        <v>0.85019999999999996</v>
      </c>
      <c r="D266" s="1016">
        <v>0.8327</v>
      </c>
      <c r="E266" s="1016">
        <v>0.8327</v>
      </c>
      <c r="F266" s="1016">
        <v>0.8327</v>
      </c>
      <c r="G266" s="1016">
        <v>0.8327</v>
      </c>
      <c r="H266" s="1016">
        <v>0.8327</v>
      </c>
      <c r="I266" s="1016">
        <v>0.69320000000000004</v>
      </c>
      <c r="J266" s="1016">
        <v>0.69320000000000004</v>
      </c>
      <c r="K266" s="1016">
        <v>0.69320000000000004</v>
      </c>
      <c r="L266" s="1016">
        <v>0.69320000000000004</v>
      </c>
      <c r="M266" s="1016">
        <v>0.69320000000000004</v>
      </c>
    </row>
    <row r="267" spans="1:13">
      <c r="A267" s="1007">
        <v>6.1</v>
      </c>
      <c r="B267" s="1016">
        <v>0.84899999999999998</v>
      </c>
      <c r="C267" s="1016">
        <v>0.84899999999999998</v>
      </c>
      <c r="D267" s="1016">
        <v>0.83109999999999995</v>
      </c>
      <c r="E267" s="1016">
        <v>0.83109999999999995</v>
      </c>
      <c r="F267" s="1016">
        <v>0.83109999999999995</v>
      </c>
      <c r="G267" s="1016">
        <v>0.83109999999999995</v>
      </c>
      <c r="H267" s="1016">
        <v>0.83109999999999995</v>
      </c>
      <c r="I267" s="1016">
        <v>0.69130000000000003</v>
      </c>
      <c r="J267" s="1016">
        <v>0.69130000000000003</v>
      </c>
      <c r="K267" s="1016">
        <v>0.69130000000000003</v>
      </c>
      <c r="L267" s="1016">
        <v>0.69130000000000003</v>
      </c>
      <c r="M267" s="1016">
        <v>0.69130000000000003</v>
      </c>
    </row>
    <row r="268" spans="1:13">
      <c r="A268" s="1007">
        <v>6.2</v>
      </c>
      <c r="B268" s="1016">
        <v>0.8478</v>
      </c>
      <c r="C268" s="1016">
        <v>0.8478</v>
      </c>
      <c r="D268" s="1016">
        <v>0.8296</v>
      </c>
      <c r="E268" s="1016">
        <v>0.8296</v>
      </c>
      <c r="F268" s="1016">
        <v>0.8296</v>
      </c>
      <c r="G268" s="1016">
        <v>0.8296</v>
      </c>
      <c r="H268" s="1016">
        <v>0.8296</v>
      </c>
      <c r="I268" s="1016">
        <v>0.68940000000000001</v>
      </c>
      <c r="J268" s="1016">
        <v>0.68940000000000001</v>
      </c>
      <c r="K268" s="1016">
        <v>0.68940000000000001</v>
      </c>
      <c r="L268" s="1016">
        <v>0.68940000000000001</v>
      </c>
      <c r="M268" s="1016">
        <v>0.68940000000000001</v>
      </c>
    </row>
    <row r="269" spans="1:13">
      <c r="A269" s="1007">
        <v>6.3</v>
      </c>
      <c r="B269" s="1016">
        <v>0.84670000000000001</v>
      </c>
      <c r="C269" s="1016">
        <v>0.84670000000000001</v>
      </c>
      <c r="D269" s="1016">
        <v>0.82820000000000005</v>
      </c>
      <c r="E269" s="1016">
        <v>0.82820000000000005</v>
      </c>
      <c r="F269" s="1016">
        <v>0.82820000000000005</v>
      </c>
      <c r="G269" s="1016">
        <v>0.82820000000000005</v>
      </c>
      <c r="H269" s="1016">
        <v>0.82820000000000005</v>
      </c>
      <c r="I269" s="1016">
        <v>0.68769999999999998</v>
      </c>
      <c r="J269" s="1016">
        <v>0.68769999999999998</v>
      </c>
      <c r="K269" s="1016">
        <v>0.68769999999999998</v>
      </c>
      <c r="L269" s="1016">
        <v>0.68769999999999998</v>
      </c>
      <c r="M269" s="1016">
        <v>0.68769999999999998</v>
      </c>
    </row>
    <row r="270" spans="1:13">
      <c r="A270" s="1007">
        <v>6.4</v>
      </c>
      <c r="B270" s="1016">
        <v>0.84570000000000001</v>
      </c>
      <c r="C270" s="1016">
        <v>0.84570000000000001</v>
      </c>
      <c r="D270" s="1016">
        <v>0.82689999999999997</v>
      </c>
      <c r="E270" s="1016">
        <v>0.82689999999999997</v>
      </c>
      <c r="F270" s="1016">
        <v>0.82689999999999997</v>
      </c>
      <c r="G270" s="1016">
        <v>0.82689999999999997</v>
      </c>
      <c r="H270" s="1016">
        <v>0.82689999999999997</v>
      </c>
      <c r="I270" s="1016">
        <v>0.68610000000000004</v>
      </c>
      <c r="J270" s="1016">
        <v>0.68610000000000004</v>
      </c>
      <c r="K270" s="1016">
        <v>0.68610000000000004</v>
      </c>
      <c r="L270" s="1016">
        <v>0.68610000000000004</v>
      </c>
      <c r="M270" s="1016">
        <v>0.68610000000000004</v>
      </c>
    </row>
    <row r="271" spans="1:13">
      <c r="A271" s="1007">
        <v>6.5</v>
      </c>
      <c r="B271" s="1016">
        <v>0.84470000000000001</v>
      </c>
      <c r="C271" s="1016">
        <v>0.84470000000000001</v>
      </c>
      <c r="D271" s="1016">
        <v>0.82569999999999999</v>
      </c>
      <c r="E271" s="1016">
        <v>0.82569999999999999</v>
      </c>
      <c r="F271" s="1016">
        <v>0.82569999999999999</v>
      </c>
      <c r="G271" s="1016">
        <v>0.82569999999999999</v>
      </c>
      <c r="H271" s="1016">
        <v>0.82569999999999999</v>
      </c>
      <c r="I271" s="1016">
        <v>0.68440000000000001</v>
      </c>
      <c r="J271" s="1016">
        <v>0.68440000000000001</v>
      </c>
      <c r="K271" s="1016">
        <v>0.68440000000000001</v>
      </c>
      <c r="L271" s="1016">
        <v>0.68440000000000001</v>
      </c>
      <c r="M271" s="1016">
        <v>0.68440000000000001</v>
      </c>
    </row>
    <row r="272" spans="1:13">
      <c r="A272" s="1007">
        <v>6.6</v>
      </c>
      <c r="B272" s="1016">
        <v>0.84370000000000001</v>
      </c>
      <c r="C272" s="1016">
        <v>0.84370000000000001</v>
      </c>
      <c r="D272" s="1016">
        <v>0.82450000000000001</v>
      </c>
      <c r="E272" s="1016">
        <v>0.82450000000000001</v>
      </c>
      <c r="F272" s="1016">
        <v>0.82450000000000001</v>
      </c>
      <c r="G272" s="1016">
        <v>0.82450000000000001</v>
      </c>
      <c r="H272" s="1016">
        <v>0.82450000000000001</v>
      </c>
      <c r="I272" s="1016">
        <v>0.68289999999999995</v>
      </c>
      <c r="J272" s="1016">
        <v>0.68289999999999995</v>
      </c>
      <c r="K272" s="1016">
        <v>0.68289999999999995</v>
      </c>
      <c r="L272" s="1016">
        <v>0.68289999999999995</v>
      </c>
      <c r="M272" s="1016">
        <v>0.68289999999999995</v>
      </c>
    </row>
    <row r="273" spans="1:13">
      <c r="A273" s="1007">
        <v>6.7</v>
      </c>
      <c r="B273" s="1016">
        <v>0.8427</v>
      </c>
      <c r="C273" s="1016">
        <v>0.8427</v>
      </c>
      <c r="D273" s="1016">
        <v>0.82330000000000003</v>
      </c>
      <c r="E273" s="1016">
        <v>0.82330000000000003</v>
      </c>
      <c r="F273" s="1016">
        <v>0.82330000000000003</v>
      </c>
      <c r="G273" s="1016">
        <v>0.82330000000000003</v>
      </c>
      <c r="H273" s="1016">
        <v>0.82330000000000003</v>
      </c>
      <c r="I273" s="1016">
        <v>0.68130000000000002</v>
      </c>
      <c r="J273" s="1016">
        <v>0.68130000000000002</v>
      </c>
      <c r="K273" s="1016">
        <v>0.68130000000000002</v>
      </c>
      <c r="L273" s="1016">
        <v>0.68130000000000002</v>
      </c>
      <c r="M273" s="1016">
        <v>0.68130000000000002</v>
      </c>
    </row>
    <row r="274" spans="1:13">
      <c r="A274" s="1007">
        <v>6.8</v>
      </c>
      <c r="B274" s="1016">
        <v>0.84179999999999999</v>
      </c>
      <c r="C274" s="1016">
        <v>0.84179999999999999</v>
      </c>
      <c r="D274" s="1016">
        <v>0.82210000000000005</v>
      </c>
      <c r="E274" s="1016">
        <v>0.82210000000000005</v>
      </c>
      <c r="F274" s="1016">
        <v>0.82210000000000005</v>
      </c>
      <c r="G274" s="1016">
        <v>0.82210000000000005</v>
      </c>
      <c r="H274" s="1016">
        <v>0.82210000000000005</v>
      </c>
      <c r="I274" s="1016">
        <v>0.67979999999999996</v>
      </c>
      <c r="J274" s="1016">
        <v>0.67979999999999996</v>
      </c>
      <c r="K274" s="1016">
        <v>0.67979999999999996</v>
      </c>
      <c r="L274" s="1016">
        <v>0.67979999999999996</v>
      </c>
      <c r="M274" s="1016">
        <v>0.67979999999999996</v>
      </c>
    </row>
    <row r="275" spans="1:13">
      <c r="A275" s="1007">
        <v>6.9</v>
      </c>
      <c r="B275" s="1016">
        <v>0.84089999999999998</v>
      </c>
      <c r="C275" s="1016">
        <v>0.84089999999999998</v>
      </c>
      <c r="D275" s="1016">
        <v>0.82099999999999995</v>
      </c>
      <c r="E275" s="1016">
        <v>0.82099999999999995</v>
      </c>
      <c r="F275" s="1016">
        <v>0.82099999999999995</v>
      </c>
      <c r="G275" s="1016">
        <v>0.82099999999999995</v>
      </c>
      <c r="H275" s="1016">
        <v>0.82099999999999995</v>
      </c>
      <c r="I275" s="1016">
        <v>0.67849999999999999</v>
      </c>
      <c r="J275" s="1016">
        <v>0.67849999999999999</v>
      </c>
      <c r="K275" s="1016">
        <v>0.67849999999999999</v>
      </c>
      <c r="L275" s="1016">
        <v>0.67849999999999999</v>
      </c>
      <c r="M275" s="1016">
        <v>0.67849999999999999</v>
      </c>
    </row>
    <row r="276" spans="1:13">
      <c r="A276" s="1007">
        <v>7</v>
      </c>
      <c r="B276" s="1016">
        <v>0.84009999999999996</v>
      </c>
      <c r="C276" s="1016">
        <v>0.84009999999999996</v>
      </c>
      <c r="D276" s="1016">
        <v>0.81989999999999996</v>
      </c>
      <c r="E276" s="1016">
        <v>0.81989999999999996</v>
      </c>
      <c r="F276" s="1016">
        <v>0.81989999999999996</v>
      </c>
      <c r="G276" s="1016">
        <v>0.81989999999999996</v>
      </c>
      <c r="H276" s="1016">
        <v>0.81989999999999996</v>
      </c>
      <c r="I276" s="1016">
        <v>0.67720000000000002</v>
      </c>
      <c r="J276" s="1016">
        <v>0.67720000000000002</v>
      </c>
      <c r="K276" s="1016">
        <v>0.67720000000000002</v>
      </c>
      <c r="L276" s="1016">
        <v>0.67720000000000002</v>
      </c>
      <c r="M276" s="1016">
        <v>0.67720000000000002</v>
      </c>
    </row>
    <row r="277" spans="1:13">
      <c r="A277" s="1007">
        <v>7.1</v>
      </c>
      <c r="B277" s="1016">
        <v>0.83930000000000005</v>
      </c>
      <c r="C277" s="1016">
        <v>0.83930000000000005</v>
      </c>
      <c r="D277" s="1016">
        <v>0.81889999999999996</v>
      </c>
      <c r="E277" s="1016">
        <v>0.81889999999999996</v>
      </c>
      <c r="F277" s="1016">
        <v>0.81889999999999996</v>
      </c>
      <c r="G277" s="1016">
        <v>0.81889999999999996</v>
      </c>
      <c r="H277" s="1016">
        <v>0.81889999999999996</v>
      </c>
      <c r="I277" s="1016">
        <v>0.67589999999999995</v>
      </c>
      <c r="J277" s="1016">
        <v>0.67589999999999995</v>
      </c>
      <c r="K277" s="1016">
        <v>0.67589999999999995</v>
      </c>
      <c r="L277" s="1016">
        <v>0.67589999999999995</v>
      </c>
      <c r="M277" s="1016">
        <v>0.67589999999999995</v>
      </c>
    </row>
    <row r="278" spans="1:13">
      <c r="A278" s="1007">
        <v>7.2</v>
      </c>
      <c r="B278" s="1016">
        <v>0.83850000000000002</v>
      </c>
      <c r="C278" s="1016">
        <v>0.83850000000000002</v>
      </c>
      <c r="D278" s="1016">
        <v>0.81789999999999996</v>
      </c>
      <c r="E278" s="1016">
        <v>0.81789999999999996</v>
      </c>
      <c r="F278" s="1016">
        <v>0.81789999999999996</v>
      </c>
      <c r="G278" s="1016">
        <v>0.81789999999999996</v>
      </c>
      <c r="H278" s="1016">
        <v>0.81789999999999996</v>
      </c>
      <c r="I278" s="1016">
        <v>0.67459999999999998</v>
      </c>
      <c r="J278" s="1016">
        <v>0.67459999999999998</v>
      </c>
      <c r="K278" s="1016">
        <v>0.67459999999999998</v>
      </c>
      <c r="L278" s="1016">
        <v>0.67459999999999998</v>
      </c>
      <c r="M278" s="1016">
        <v>0.67459999999999998</v>
      </c>
    </row>
    <row r="279" spans="1:13">
      <c r="A279" s="1007">
        <v>7.3</v>
      </c>
      <c r="B279" s="1016">
        <v>0.8377</v>
      </c>
      <c r="C279" s="1016">
        <v>0.8377</v>
      </c>
      <c r="D279" s="1016">
        <v>0.81689999999999996</v>
      </c>
      <c r="E279" s="1016">
        <v>0.81689999999999996</v>
      </c>
      <c r="F279" s="1016">
        <v>0.81689999999999996</v>
      </c>
      <c r="G279" s="1016">
        <v>0.81689999999999996</v>
      </c>
      <c r="H279" s="1016">
        <v>0.81689999999999996</v>
      </c>
      <c r="I279" s="1016">
        <v>0.6734</v>
      </c>
      <c r="J279" s="1016">
        <v>0.6734</v>
      </c>
      <c r="K279" s="1016">
        <v>0.6734</v>
      </c>
      <c r="L279" s="1016">
        <v>0.6734</v>
      </c>
      <c r="M279" s="1016">
        <v>0.6734</v>
      </c>
    </row>
    <row r="280" spans="1:13">
      <c r="A280" s="1007">
        <v>7.4</v>
      </c>
      <c r="B280" s="1016">
        <v>0.83699999999999997</v>
      </c>
      <c r="C280" s="1016">
        <v>0.83699999999999997</v>
      </c>
      <c r="D280" s="1016">
        <v>0.81599999999999995</v>
      </c>
      <c r="E280" s="1016">
        <v>0.81599999999999995</v>
      </c>
      <c r="F280" s="1016">
        <v>0.81599999999999995</v>
      </c>
      <c r="G280" s="1016">
        <v>0.81599999999999995</v>
      </c>
      <c r="H280" s="1016">
        <v>0.81599999999999995</v>
      </c>
      <c r="I280" s="1016">
        <v>0.67210000000000003</v>
      </c>
      <c r="J280" s="1016">
        <v>0.67210000000000003</v>
      </c>
      <c r="K280" s="1016">
        <v>0.67210000000000003</v>
      </c>
      <c r="L280" s="1016">
        <v>0.67210000000000003</v>
      </c>
      <c r="M280" s="1016">
        <v>0.67210000000000003</v>
      </c>
    </row>
    <row r="281" spans="1:13">
      <c r="A281" s="1007">
        <v>7.5</v>
      </c>
      <c r="B281" s="1016">
        <v>0.83630000000000004</v>
      </c>
      <c r="C281" s="1016">
        <v>0.83630000000000004</v>
      </c>
      <c r="D281" s="1016">
        <v>0.81510000000000005</v>
      </c>
      <c r="E281" s="1016">
        <v>0.81510000000000005</v>
      </c>
      <c r="F281" s="1016">
        <v>0.81510000000000005</v>
      </c>
      <c r="G281" s="1016">
        <v>0.81510000000000005</v>
      </c>
      <c r="H281" s="1016">
        <v>0.81510000000000005</v>
      </c>
      <c r="I281" s="1016">
        <v>0.67090000000000005</v>
      </c>
      <c r="J281" s="1016">
        <v>0.67090000000000005</v>
      </c>
      <c r="K281" s="1016">
        <v>0.67090000000000005</v>
      </c>
      <c r="L281" s="1016">
        <v>0.67090000000000005</v>
      </c>
      <c r="M281" s="1016">
        <v>0.67090000000000005</v>
      </c>
    </row>
    <row r="282" spans="1:13">
      <c r="A282" s="1007">
        <v>7.6</v>
      </c>
      <c r="B282" s="1016">
        <v>0.83560000000000001</v>
      </c>
      <c r="C282" s="1016">
        <v>0.83560000000000001</v>
      </c>
      <c r="D282" s="1016">
        <v>0.81420000000000003</v>
      </c>
      <c r="E282" s="1016">
        <v>0.81420000000000003</v>
      </c>
      <c r="F282" s="1016">
        <v>0.81420000000000003</v>
      </c>
      <c r="G282" s="1016">
        <v>0.81420000000000003</v>
      </c>
      <c r="H282" s="1016">
        <v>0.81420000000000003</v>
      </c>
      <c r="I282" s="1016">
        <v>0.66979999999999995</v>
      </c>
      <c r="J282" s="1016">
        <v>0.66979999999999995</v>
      </c>
      <c r="K282" s="1016">
        <v>0.66979999999999995</v>
      </c>
      <c r="L282" s="1016">
        <v>0.66979999999999995</v>
      </c>
      <c r="M282" s="1016">
        <v>0.66979999999999995</v>
      </c>
    </row>
    <row r="283" spans="1:13">
      <c r="A283" s="1007">
        <v>7.7</v>
      </c>
      <c r="B283" s="1016">
        <v>0.83489999999999998</v>
      </c>
      <c r="C283" s="1016">
        <v>0.83489999999999998</v>
      </c>
      <c r="D283" s="1016">
        <v>0.81330000000000002</v>
      </c>
      <c r="E283" s="1016">
        <v>0.81330000000000002</v>
      </c>
      <c r="F283" s="1016">
        <v>0.81330000000000002</v>
      </c>
      <c r="G283" s="1016">
        <v>0.81330000000000002</v>
      </c>
      <c r="H283" s="1016">
        <v>0.81330000000000002</v>
      </c>
      <c r="I283" s="1016">
        <v>0.66869999999999996</v>
      </c>
      <c r="J283" s="1016">
        <v>0.66869999999999996</v>
      </c>
      <c r="K283" s="1016">
        <v>0.66869999999999996</v>
      </c>
      <c r="L283" s="1016">
        <v>0.66869999999999996</v>
      </c>
      <c r="M283" s="1016">
        <v>0.66869999999999996</v>
      </c>
    </row>
    <row r="284" spans="1:13">
      <c r="A284" s="1007">
        <v>7.8</v>
      </c>
      <c r="B284" s="1016">
        <v>0.83420000000000005</v>
      </c>
      <c r="C284" s="1016">
        <v>0.83420000000000005</v>
      </c>
      <c r="D284" s="1016">
        <v>0.81240000000000001</v>
      </c>
      <c r="E284" s="1016">
        <v>0.81240000000000001</v>
      </c>
      <c r="F284" s="1016">
        <v>0.81240000000000001</v>
      </c>
      <c r="G284" s="1016">
        <v>0.81240000000000001</v>
      </c>
      <c r="H284" s="1016">
        <v>0.81240000000000001</v>
      </c>
      <c r="I284" s="1016">
        <v>0.66759999999999997</v>
      </c>
      <c r="J284" s="1016">
        <v>0.66759999999999997</v>
      </c>
      <c r="K284" s="1016">
        <v>0.66759999999999997</v>
      </c>
      <c r="L284" s="1016">
        <v>0.66759999999999997</v>
      </c>
      <c r="M284" s="1016">
        <v>0.66759999999999997</v>
      </c>
    </row>
    <row r="285" spans="1:13">
      <c r="A285" s="1007">
        <v>7.9</v>
      </c>
      <c r="B285" s="1016">
        <v>0.83350000000000002</v>
      </c>
      <c r="C285" s="1016">
        <v>0.83350000000000002</v>
      </c>
      <c r="D285" s="1016">
        <v>0.81159999999999999</v>
      </c>
      <c r="E285" s="1016">
        <v>0.81159999999999999</v>
      </c>
      <c r="F285" s="1016">
        <v>0.81159999999999999</v>
      </c>
      <c r="G285" s="1016">
        <v>0.81159999999999999</v>
      </c>
      <c r="H285" s="1016">
        <v>0.81159999999999999</v>
      </c>
      <c r="I285" s="1016">
        <v>0.66649999999999998</v>
      </c>
      <c r="J285" s="1016">
        <v>0.66649999999999998</v>
      </c>
      <c r="K285" s="1016">
        <v>0.66649999999999998</v>
      </c>
      <c r="L285" s="1016">
        <v>0.66649999999999998</v>
      </c>
      <c r="M285" s="1016">
        <v>0.66649999999999998</v>
      </c>
    </row>
    <row r="286" spans="1:13">
      <c r="A286" s="1007">
        <v>8</v>
      </c>
      <c r="B286" s="1016">
        <v>0.83279999999999998</v>
      </c>
      <c r="C286" s="1016">
        <v>0.83279999999999998</v>
      </c>
      <c r="D286" s="1016">
        <v>0.81079999999999997</v>
      </c>
      <c r="E286" s="1016">
        <v>0.81079999999999997</v>
      </c>
      <c r="F286" s="1016">
        <v>0.81079999999999997</v>
      </c>
      <c r="G286" s="1016">
        <v>0.81079999999999997</v>
      </c>
      <c r="H286" s="1016">
        <v>0.81079999999999997</v>
      </c>
      <c r="I286" s="1016">
        <v>0.66549999999999998</v>
      </c>
      <c r="J286" s="1016">
        <v>0.66549999999999998</v>
      </c>
      <c r="K286" s="1016">
        <v>0.66549999999999998</v>
      </c>
      <c r="L286" s="1016">
        <v>0.66549999999999998</v>
      </c>
      <c r="M286" s="1016">
        <v>0.66549999999999998</v>
      </c>
    </row>
    <row r="287" spans="1:13">
      <c r="A287" s="1007">
        <v>8.1</v>
      </c>
      <c r="B287" s="1016">
        <v>0.83220000000000005</v>
      </c>
      <c r="C287" s="1016">
        <v>0.83220000000000005</v>
      </c>
      <c r="D287" s="1016">
        <v>0.81</v>
      </c>
      <c r="E287" s="1016">
        <v>0.81</v>
      </c>
      <c r="F287" s="1016">
        <v>0.81</v>
      </c>
      <c r="G287" s="1016">
        <v>0.81</v>
      </c>
      <c r="H287" s="1016">
        <v>0.81</v>
      </c>
      <c r="I287" s="1016">
        <v>0.66439999999999999</v>
      </c>
      <c r="J287" s="1016">
        <v>0.66439999999999999</v>
      </c>
      <c r="K287" s="1016">
        <v>0.66439999999999999</v>
      </c>
      <c r="L287" s="1016">
        <v>0.66439999999999999</v>
      </c>
      <c r="M287" s="1016">
        <v>0.66439999999999999</v>
      </c>
    </row>
    <row r="288" spans="1:13">
      <c r="A288" s="1007">
        <v>8.1999999999999993</v>
      </c>
      <c r="B288" s="1016">
        <v>0.83160000000000001</v>
      </c>
      <c r="C288" s="1016">
        <v>0.83160000000000001</v>
      </c>
      <c r="D288" s="1016">
        <v>0.80920000000000003</v>
      </c>
      <c r="E288" s="1016">
        <v>0.80920000000000003</v>
      </c>
      <c r="F288" s="1016">
        <v>0.80920000000000003</v>
      </c>
      <c r="G288" s="1016">
        <v>0.80920000000000003</v>
      </c>
      <c r="H288" s="1016">
        <v>0.80920000000000003</v>
      </c>
      <c r="I288" s="1016">
        <v>0.66339999999999999</v>
      </c>
      <c r="J288" s="1016">
        <v>0.66339999999999999</v>
      </c>
      <c r="K288" s="1016">
        <v>0.66339999999999999</v>
      </c>
      <c r="L288" s="1016">
        <v>0.66339999999999999</v>
      </c>
      <c r="M288" s="1016">
        <v>0.66339999999999999</v>
      </c>
    </row>
    <row r="289" spans="1:13">
      <c r="A289" s="1007">
        <v>8.3000000000000007</v>
      </c>
      <c r="B289" s="1016">
        <v>0.83099999999999996</v>
      </c>
      <c r="C289" s="1016">
        <v>0.83099999999999996</v>
      </c>
      <c r="D289" s="1016">
        <v>0.80840000000000001</v>
      </c>
      <c r="E289" s="1016">
        <v>0.80840000000000001</v>
      </c>
      <c r="F289" s="1016">
        <v>0.80840000000000001</v>
      </c>
      <c r="G289" s="1016">
        <v>0.80840000000000001</v>
      </c>
      <c r="H289" s="1016">
        <v>0.80840000000000001</v>
      </c>
      <c r="I289" s="1016">
        <v>0.66239999999999999</v>
      </c>
      <c r="J289" s="1016">
        <v>0.66239999999999999</v>
      </c>
      <c r="K289" s="1016">
        <v>0.66239999999999999</v>
      </c>
      <c r="L289" s="1016">
        <v>0.66239999999999999</v>
      </c>
      <c r="M289" s="1016">
        <v>0.66239999999999999</v>
      </c>
    </row>
    <row r="290" spans="1:13">
      <c r="A290" s="1007">
        <v>8.4</v>
      </c>
      <c r="B290" s="1016">
        <v>0.83040000000000003</v>
      </c>
      <c r="C290" s="1016">
        <v>0.83040000000000003</v>
      </c>
      <c r="D290" s="1016">
        <v>0.80759999999999998</v>
      </c>
      <c r="E290" s="1016">
        <v>0.80759999999999998</v>
      </c>
      <c r="F290" s="1016">
        <v>0.80759999999999998</v>
      </c>
      <c r="G290" s="1016">
        <v>0.80759999999999998</v>
      </c>
      <c r="H290" s="1016">
        <v>0.80759999999999998</v>
      </c>
      <c r="I290" s="1016">
        <v>0.66139999999999999</v>
      </c>
      <c r="J290" s="1016">
        <v>0.66139999999999999</v>
      </c>
      <c r="K290" s="1016">
        <v>0.66139999999999999</v>
      </c>
      <c r="L290" s="1016">
        <v>0.66139999999999999</v>
      </c>
      <c r="M290" s="1016">
        <v>0.66139999999999999</v>
      </c>
    </row>
    <row r="291" spans="1:13">
      <c r="A291" s="1007">
        <v>8.5</v>
      </c>
      <c r="B291" s="1016">
        <v>0.82979999999999998</v>
      </c>
      <c r="C291" s="1016">
        <v>0.82979999999999998</v>
      </c>
      <c r="D291" s="1016">
        <v>0.80679999999999996</v>
      </c>
      <c r="E291" s="1016">
        <v>0.80679999999999996</v>
      </c>
      <c r="F291" s="1016">
        <v>0.80679999999999996</v>
      </c>
      <c r="G291" s="1016">
        <v>0.80679999999999996</v>
      </c>
      <c r="H291" s="1016">
        <v>0.80679999999999996</v>
      </c>
      <c r="I291" s="1016">
        <v>0.66049999999999998</v>
      </c>
      <c r="J291" s="1016">
        <v>0.66049999999999998</v>
      </c>
      <c r="K291" s="1016">
        <v>0.66049999999999998</v>
      </c>
      <c r="L291" s="1016">
        <v>0.66049999999999998</v>
      </c>
      <c r="M291" s="1016">
        <v>0.66049999999999998</v>
      </c>
    </row>
    <row r="292" spans="1:13">
      <c r="A292" s="1007">
        <v>8.6</v>
      </c>
      <c r="B292" s="1016">
        <v>0.82920000000000005</v>
      </c>
      <c r="C292" s="1016">
        <v>0.82920000000000005</v>
      </c>
      <c r="D292" s="1016">
        <v>0.80600000000000005</v>
      </c>
      <c r="E292" s="1016">
        <v>0.80600000000000005</v>
      </c>
      <c r="F292" s="1016">
        <v>0.80600000000000005</v>
      </c>
      <c r="G292" s="1016">
        <v>0.80600000000000005</v>
      </c>
      <c r="H292" s="1016">
        <v>0.80600000000000005</v>
      </c>
      <c r="I292" s="1016">
        <v>0.65949999999999998</v>
      </c>
      <c r="J292" s="1016">
        <v>0.65949999999999998</v>
      </c>
      <c r="K292" s="1016">
        <v>0.65949999999999998</v>
      </c>
      <c r="L292" s="1016">
        <v>0.65949999999999998</v>
      </c>
      <c r="M292" s="1016">
        <v>0.65949999999999998</v>
      </c>
    </row>
    <row r="293" spans="1:13">
      <c r="A293" s="1007">
        <v>8.6999999999999993</v>
      </c>
      <c r="B293" s="1016">
        <v>0.8286</v>
      </c>
      <c r="C293" s="1016">
        <v>0.8286</v>
      </c>
      <c r="D293" s="1016">
        <v>0.80520000000000003</v>
      </c>
      <c r="E293" s="1016">
        <v>0.80520000000000003</v>
      </c>
      <c r="F293" s="1016">
        <v>0.80520000000000003</v>
      </c>
      <c r="G293" s="1016">
        <v>0.80520000000000003</v>
      </c>
      <c r="H293" s="1016">
        <v>0.80520000000000003</v>
      </c>
      <c r="I293" s="1016">
        <v>0.65859999999999996</v>
      </c>
      <c r="J293" s="1016">
        <v>0.65859999999999996</v>
      </c>
      <c r="K293" s="1016">
        <v>0.65859999999999996</v>
      </c>
      <c r="L293" s="1016">
        <v>0.65859999999999996</v>
      </c>
      <c r="M293" s="1016">
        <v>0.65859999999999996</v>
      </c>
    </row>
    <row r="294" spans="1:13">
      <c r="A294" s="1007">
        <v>8.8000000000000007</v>
      </c>
      <c r="B294" s="1016">
        <v>0.82799999999999996</v>
      </c>
      <c r="C294" s="1016">
        <v>0.82799999999999996</v>
      </c>
      <c r="D294" s="1016">
        <v>0.8044</v>
      </c>
      <c r="E294" s="1016">
        <v>0.8044</v>
      </c>
      <c r="F294" s="1016">
        <v>0.8044</v>
      </c>
      <c r="G294" s="1016">
        <v>0.8044</v>
      </c>
      <c r="H294" s="1016">
        <v>0.8044</v>
      </c>
      <c r="I294" s="1016">
        <v>0.65759999999999996</v>
      </c>
      <c r="J294" s="1016">
        <v>0.65759999999999996</v>
      </c>
      <c r="K294" s="1016">
        <v>0.65759999999999996</v>
      </c>
      <c r="L294" s="1016">
        <v>0.65759999999999996</v>
      </c>
      <c r="M294" s="1016">
        <v>0.65759999999999996</v>
      </c>
    </row>
    <row r="295" spans="1:13">
      <c r="A295" s="1007">
        <v>8.9</v>
      </c>
      <c r="B295" s="1016">
        <v>0.82740000000000002</v>
      </c>
      <c r="C295" s="1016">
        <v>0.82740000000000002</v>
      </c>
      <c r="D295" s="1016">
        <v>0.80359999999999998</v>
      </c>
      <c r="E295" s="1016">
        <v>0.80359999999999998</v>
      </c>
      <c r="F295" s="1016">
        <v>0.80359999999999998</v>
      </c>
      <c r="G295" s="1016">
        <v>0.80359999999999998</v>
      </c>
      <c r="H295" s="1016">
        <v>0.80359999999999998</v>
      </c>
      <c r="I295" s="1016">
        <v>0.65669999999999995</v>
      </c>
      <c r="J295" s="1016">
        <v>0.65669999999999995</v>
      </c>
      <c r="K295" s="1016">
        <v>0.65669999999999995</v>
      </c>
      <c r="L295" s="1016">
        <v>0.65669999999999995</v>
      </c>
      <c r="M295" s="1016">
        <v>0.65669999999999995</v>
      </c>
    </row>
    <row r="296" spans="1:13">
      <c r="A296" s="1031">
        <v>9</v>
      </c>
      <c r="B296" s="1016">
        <v>0.82679999999999998</v>
      </c>
      <c r="C296" s="1016">
        <v>0.82679999999999998</v>
      </c>
      <c r="D296" s="1016">
        <v>0.80279999999999996</v>
      </c>
      <c r="E296" s="1016">
        <v>0.80279999999999996</v>
      </c>
      <c r="F296" s="1016">
        <v>0.80279999999999996</v>
      </c>
      <c r="G296" s="1016">
        <v>0.80279999999999996</v>
      </c>
      <c r="H296" s="1016">
        <v>0.80279999999999996</v>
      </c>
      <c r="I296" s="1016">
        <v>0.65569999999999995</v>
      </c>
      <c r="J296" s="1016">
        <v>0.65569999999999995</v>
      </c>
      <c r="K296" s="1016">
        <v>0.65569999999999995</v>
      </c>
      <c r="L296" s="1016">
        <v>0.65569999999999995</v>
      </c>
      <c r="M296" s="1016">
        <v>0.65569999999999995</v>
      </c>
    </row>
    <row r="297" spans="1:13">
      <c r="A297" s="1031">
        <v>9.1</v>
      </c>
      <c r="B297" s="1016">
        <v>0.82620000000000005</v>
      </c>
      <c r="C297" s="1016">
        <v>0.82620000000000005</v>
      </c>
      <c r="D297" s="1016">
        <v>0.80200000000000005</v>
      </c>
      <c r="E297" s="1016">
        <v>0.80200000000000005</v>
      </c>
      <c r="F297" s="1016">
        <v>0.80200000000000005</v>
      </c>
      <c r="G297" s="1016">
        <v>0.80200000000000005</v>
      </c>
      <c r="H297" s="1016">
        <v>0.80200000000000005</v>
      </c>
      <c r="I297" s="1016">
        <v>0.65480000000000005</v>
      </c>
      <c r="J297" s="1016">
        <v>0.65480000000000005</v>
      </c>
      <c r="K297" s="1016">
        <v>0.65480000000000005</v>
      </c>
      <c r="L297" s="1016">
        <v>0.65480000000000005</v>
      </c>
      <c r="M297" s="1016">
        <v>0.65480000000000005</v>
      </c>
    </row>
    <row r="298" spans="1:13">
      <c r="A298" s="1031">
        <v>9.1999999999999993</v>
      </c>
      <c r="B298" s="1016">
        <v>0.8256</v>
      </c>
      <c r="C298" s="1016">
        <v>0.8256</v>
      </c>
      <c r="D298" s="1016">
        <v>0.80120000000000002</v>
      </c>
      <c r="E298" s="1016">
        <v>0.80120000000000002</v>
      </c>
      <c r="F298" s="1016">
        <v>0.80120000000000002</v>
      </c>
      <c r="G298" s="1016">
        <v>0.80120000000000002</v>
      </c>
      <c r="H298" s="1016">
        <v>0.80120000000000002</v>
      </c>
      <c r="I298" s="1016">
        <v>0.65380000000000005</v>
      </c>
      <c r="J298" s="1016">
        <v>0.65380000000000005</v>
      </c>
      <c r="K298" s="1016">
        <v>0.65380000000000005</v>
      </c>
      <c r="L298" s="1016">
        <v>0.65380000000000005</v>
      </c>
      <c r="M298" s="1016">
        <v>0.65380000000000005</v>
      </c>
    </row>
    <row r="299" spans="1:13">
      <c r="A299" s="1031">
        <v>9.3000000000000007</v>
      </c>
      <c r="B299" s="1016">
        <v>0.82499999999999996</v>
      </c>
      <c r="C299" s="1016">
        <v>0.82499999999999996</v>
      </c>
      <c r="D299" s="1016">
        <v>0.8004</v>
      </c>
      <c r="E299" s="1016">
        <v>0.8004</v>
      </c>
      <c r="F299" s="1016">
        <v>0.8004</v>
      </c>
      <c r="G299" s="1016">
        <v>0.8004</v>
      </c>
      <c r="H299" s="1016">
        <v>0.8004</v>
      </c>
      <c r="I299" s="1016">
        <v>0.65290000000000004</v>
      </c>
      <c r="J299" s="1016">
        <v>0.65290000000000004</v>
      </c>
      <c r="K299" s="1016">
        <v>0.65290000000000004</v>
      </c>
      <c r="L299" s="1016">
        <v>0.65290000000000004</v>
      </c>
      <c r="M299" s="1016">
        <v>0.65290000000000004</v>
      </c>
    </row>
    <row r="300" spans="1:13">
      <c r="A300" s="1031">
        <v>9.4</v>
      </c>
      <c r="B300" s="1016">
        <v>0.82440000000000002</v>
      </c>
      <c r="C300" s="1016">
        <v>0.82440000000000002</v>
      </c>
      <c r="D300" s="1016">
        <v>0.79959999999999998</v>
      </c>
      <c r="E300" s="1016">
        <v>0.79959999999999998</v>
      </c>
      <c r="F300" s="1016">
        <v>0.79959999999999998</v>
      </c>
      <c r="G300" s="1016">
        <v>0.79959999999999998</v>
      </c>
      <c r="H300" s="1016">
        <v>0.79959999999999998</v>
      </c>
      <c r="I300" s="1016">
        <v>0.65190000000000003</v>
      </c>
      <c r="J300" s="1016">
        <v>0.65190000000000003</v>
      </c>
      <c r="K300" s="1016">
        <v>0.65190000000000003</v>
      </c>
      <c r="L300" s="1016">
        <v>0.65190000000000003</v>
      </c>
      <c r="M300" s="1016">
        <v>0.65190000000000003</v>
      </c>
    </row>
    <row r="301" spans="1:13">
      <c r="A301" s="1031">
        <v>9.5</v>
      </c>
      <c r="B301" s="1016">
        <v>0.82379999999999998</v>
      </c>
      <c r="C301" s="1016">
        <v>0.82379999999999998</v>
      </c>
      <c r="D301" s="1016">
        <v>0.79879999999999995</v>
      </c>
      <c r="E301" s="1016">
        <v>0.79879999999999995</v>
      </c>
      <c r="F301" s="1016">
        <v>0.79879999999999995</v>
      </c>
      <c r="G301" s="1016">
        <v>0.79879999999999995</v>
      </c>
      <c r="H301" s="1016">
        <v>0.79879999999999995</v>
      </c>
      <c r="I301" s="1016">
        <v>0.65100000000000002</v>
      </c>
      <c r="J301" s="1016">
        <v>0.65100000000000002</v>
      </c>
      <c r="K301" s="1016">
        <v>0.65100000000000002</v>
      </c>
      <c r="L301" s="1016">
        <v>0.65100000000000002</v>
      </c>
      <c r="M301" s="1016">
        <v>0.65100000000000002</v>
      </c>
    </row>
    <row r="302" spans="1:13">
      <c r="A302" s="1031">
        <v>9.6</v>
      </c>
      <c r="B302" s="1016">
        <v>0.82320000000000004</v>
      </c>
      <c r="C302" s="1016">
        <v>0.82320000000000004</v>
      </c>
      <c r="D302" s="1016">
        <v>0.79800000000000004</v>
      </c>
      <c r="E302" s="1016">
        <v>0.79800000000000004</v>
      </c>
      <c r="F302" s="1016">
        <v>0.79800000000000004</v>
      </c>
      <c r="G302" s="1016">
        <v>0.79800000000000004</v>
      </c>
      <c r="H302" s="1016">
        <v>0.79800000000000004</v>
      </c>
      <c r="I302" s="1016">
        <v>0.65</v>
      </c>
      <c r="J302" s="1016">
        <v>0.65</v>
      </c>
      <c r="K302" s="1016">
        <v>0.65</v>
      </c>
      <c r="L302" s="1016">
        <v>0.65</v>
      </c>
      <c r="M302" s="1016">
        <v>0.65</v>
      </c>
    </row>
    <row r="303" spans="1:13">
      <c r="A303" s="1031">
        <v>9.6999999999999993</v>
      </c>
      <c r="B303" s="1016">
        <v>0.8226</v>
      </c>
      <c r="C303" s="1016">
        <v>0.8226</v>
      </c>
      <c r="D303" s="1016">
        <v>0.79720000000000002</v>
      </c>
      <c r="E303" s="1016">
        <v>0.79720000000000002</v>
      </c>
      <c r="F303" s="1016">
        <v>0.79720000000000002</v>
      </c>
      <c r="G303" s="1016">
        <v>0.79720000000000002</v>
      </c>
      <c r="H303" s="1016">
        <v>0.79720000000000002</v>
      </c>
      <c r="I303" s="1016">
        <v>0.64900000000000002</v>
      </c>
      <c r="J303" s="1016">
        <v>0.64900000000000002</v>
      </c>
      <c r="K303" s="1016">
        <v>0.64900000000000002</v>
      </c>
      <c r="L303" s="1016">
        <v>0.64900000000000002</v>
      </c>
      <c r="M303" s="1016">
        <v>0.64900000000000002</v>
      </c>
    </row>
    <row r="304" spans="1:13">
      <c r="A304" s="1031">
        <v>9.8000000000000007</v>
      </c>
      <c r="B304" s="1016">
        <v>0.82199999999999995</v>
      </c>
      <c r="C304" s="1016">
        <v>0.82199999999999995</v>
      </c>
      <c r="D304" s="1016">
        <v>0.7964</v>
      </c>
      <c r="E304" s="1016">
        <v>0.7964</v>
      </c>
      <c r="F304" s="1016">
        <v>0.7964</v>
      </c>
      <c r="G304" s="1016">
        <v>0.7964</v>
      </c>
      <c r="H304" s="1016">
        <v>0.7964</v>
      </c>
      <c r="I304" s="1016">
        <v>0.64810000000000001</v>
      </c>
      <c r="J304" s="1016">
        <v>0.64810000000000001</v>
      </c>
      <c r="K304" s="1016">
        <v>0.64810000000000001</v>
      </c>
      <c r="L304" s="1016">
        <v>0.64810000000000001</v>
      </c>
      <c r="M304" s="1016">
        <v>0.64810000000000001</v>
      </c>
    </row>
    <row r="305" spans="1:13">
      <c r="A305" s="1031">
        <v>9.9</v>
      </c>
      <c r="B305" s="1016">
        <v>0.82140000000000002</v>
      </c>
      <c r="C305" s="1016">
        <v>0.82140000000000002</v>
      </c>
      <c r="D305" s="1016">
        <v>0.79559999999999997</v>
      </c>
      <c r="E305" s="1016">
        <v>0.79559999999999997</v>
      </c>
      <c r="F305" s="1016">
        <v>0.79559999999999997</v>
      </c>
      <c r="G305" s="1016">
        <v>0.79559999999999997</v>
      </c>
      <c r="H305" s="1016">
        <v>0.79559999999999997</v>
      </c>
      <c r="I305" s="1016">
        <v>0.64710000000000001</v>
      </c>
      <c r="J305" s="1016">
        <v>0.64710000000000001</v>
      </c>
      <c r="K305" s="1016">
        <v>0.64710000000000001</v>
      </c>
      <c r="L305" s="1016">
        <v>0.64710000000000001</v>
      </c>
      <c r="M305" s="1016">
        <v>0.64710000000000001</v>
      </c>
    </row>
    <row r="306" spans="1:13">
      <c r="A306" s="1031">
        <v>10</v>
      </c>
      <c r="B306" s="1016">
        <v>0.82079999999999997</v>
      </c>
      <c r="C306" s="1016">
        <v>0.82079999999999997</v>
      </c>
      <c r="D306" s="1016">
        <v>0.79479999999999995</v>
      </c>
      <c r="E306" s="1016">
        <v>0.79479999999999995</v>
      </c>
      <c r="F306" s="1016">
        <v>0.79479999999999995</v>
      </c>
      <c r="G306" s="1016">
        <v>0.79479999999999995</v>
      </c>
      <c r="H306" s="1016">
        <v>0.79479999999999995</v>
      </c>
      <c r="I306" s="1016">
        <v>0.6462</v>
      </c>
      <c r="J306" s="1016">
        <v>0.6462</v>
      </c>
      <c r="K306" s="1016">
        <v>0.6462</v>
      </c>
      <c r="L306" s="1016">
        <v>0.6462</v>
      </c>
      <c r="M306" s="1016">
        <v>0.6462</v>
      </c>
    </row>
    <row r="307" spans="1:13" ht="14.25">
      <c r="A307" s="1004" t="s">
        <v>912</v>
      </c>
      <c r="B307" s="1005"/>
      <c r="C307" s="1005"/>
      <c r="D307" s="1005"/>
      <c r="E307" s="1005"/>
      <c r="F307" s="1005"/>
      <c r="G307" s="1005"/>
      <c r="H307" s="1005"/>
      <c r="I307" s="1005"/>
      <c r="J307" s="1005"/>
      <c r="K307" s="1005"/>
      <c r="L307" s="1005"/>
      <c r="M307" s="1005"/>
    </row>
    <row r="308" spans="1:13">
      <c r="A308" s="1007" t="s">
        <v>899</v>
      </c>
      <c r="B308" s="1008" t="s">
        <v>900</v>
      </c>
      <c r="C308" s="1008" t="s">
        <v>901</v>
      </c>
      <c r="D308" s="1008" t="s">
        <v>902</v>
      </c>
      <c r="E308" s="1008" t="s">
        <v>903</v>
      </c>
      <c r="F308" s="1008" t="s">
        <v>904</v>
      </c>
      <c r="G308" s="1008" t="s">
        <v>905</v>
      </c>
      <c r="H308" s="1009" t="s">
        <v>906</v>
      </c>
      <c r="I308" s="1009" t="s">
        <v>907</v>
      </c>
      <c r="J308" s="1010" t="s">
        <v>908</v>
      </c>
      <c r="K308" s="1010" t="s">
        <v>909</v>
      </c>
      <c r="L308" s="1010" t="s">
        <v>910</v>
      </c>
      <c r="M308" s="1010" t="s">
        <v>911</v>
      </c>
    </row>
    <row r="309" spans="1:13">
      <c r="A309" s="1007">
        <v>0.1</v>
      </c>
      <c r="B309" s="1016">
        <v>11.506</v>
      </c>
      <c r="C309" s="1016">
        <v>11.506</v>
      </c>
      <c r="D309" s="1016">
        <v>12.015000000000001</v>
      </c>
      <c r="E309" s="1016">
        <v>12.015000000000001</v>
      </c>
      <c r="F309" s="1016">
        <v>12.015000000000001</v>
      </c>
      <c r="G309" s="1016">
        <v>11.118</v>
      </c>
      <c r="H309" s="1016">
        <v>11.118</v>
      </c>
      <c r="I309" s="1016">
        <v>10</v>
      </c>
      <c r="J309" s="1016">
        <v>10</v>
      </c>
      <c r="K309" s="1016">
        <v>10</v>
      </c>
      <c r="L309" s="1016">
        <v>10</v>
      </c>
      <c r="M309" s="1016">
        <v>10</v>
      </c>
    </row>
    <row r="310" spans="1:13">
      <c r="A310" s="1007">
        <v>0.2</v>
      </c>
      <c r="B310" s="1016">
        <v>5.7530000000000001</v>
      </c>
      <c r="C310" s="1016">
        <v>5.7530000000000001</v>
      </c>
      <c r="D310" s="1016">
        <v>6.0075000000000003</v>
      </c>
      <c r="E310" s="1016">
        <v>6.0075000000000003</v>
      </c>
      <c r="F310" s="1016">
        <v>6.0075000000000003</v>
      </c>
      <c r="G310" s="1016">
        <v>5.5590000000000002</v>
      </c>
      <c r="H310" s="1016">
        <v>5.5590000000000002</v>
      </c>
      <c r="I310" s="1016">
        <v>5</v>
      </c>
      <c r="J310" s="1016">
        <v>5</v>
      </c>
      <c r="K310" s="1016">
        <v>5</v>
      </c>
      <c r="L310" s="1016">
        <v>5</v>
      </c>
      <c r="M310" s="1016">
        <v>5</v>
      </c>
    </row>
    <row r="311" spans="1:13">
      <c r="A311" s="1007">
        <v>0.3</v>
      </c>
      <c r="B311" s="1016">
        <v>3.8353000000000002</v>
      </c>
      <c r="C311" s="1016">
        <v>3.8353000000000002</v>
      </c>
      <c r="D311" s="1016">
        <v>4.0049999999999999</v>
      </c>
      <c r="E311" s="1016">
        <v>4.0049999999999999</v>
      </c>
      <c r="F311" s="1016">
        <v>4.0049999999999999</v>
      </c>
      <c r="G311" s="1016">
        <v>3.706</v>
      </c>
      <c r="H311" s="1016">
        <v>3.706</v>
      </c>
      <c r="I311" s="1016">
        <v>3.3332999999999999</v>
      </c>
      <c r="J311" s="1016">
        <v>3.3332999999999999</v>
      </c>
      <c r="K311" s="1016">
        <v>3.3332999999999999</v>
      </c>
      <c r="L311" s="1016">
        <v>3.3332999999999999</v>
      </c>
      <c r="M311" s="1016">
        <v>3.3332999999999999</v>
      </c>
    </row>
    <row r="312" spans="1:13">
      <c r="A312" s="1007">
        <v>0.4</v>
      </c>
      <c r="B312" s="1016">
        <v>2.8765000000000001</v>
      </c>
      <c r="C312" s="1016">
        <v>2.8765000000000001</v>
      </c>
      <c r="D312" s="1016">
        <v>3.0038</v>
      </c>
      <c r="E312" s="1016">
        <v>3.0038</v>
      </c>
      <c r="F312" s="1016">
        <v>3.0038</v>
      </c>
      <c r="G312" s="1016">
        <v>2.7795000000000001</v>
      </c>
      <c r="H312" s="1016">
        <v>2.7795000000000001</v>
      </c>
      <c r="I312" s="1016">
        <v>2.5</v>
      </c>
      <c r="J312" s="1016">
        <v>2.5</v>
      </c>
      <c r="K312" s="1016">
        <v>2.5</v>
      </c>
      <c r="L312" s="1016">
        <v>2.5</v>
      </c>
      <c r="M312" s="1016">
        <v>2.5</v>
      </c>
    </row>
    <row r="313" spans="1:13">
      <c r="A313" s="1007">
        <v>0.5</v>
      </c>
      <c r="B313" s="1016">
        <v>2.3012000000000001</v>
      </c>
      <c r="C313" s="1016">
        <v>2.3012000000000001</v>
      </c>
      <c r="D313" s="1016">
        <v>2.403</v>
      </c>
      <c r="E313" s="1016">
        <v>2.403</v>
      </c>
      <c r="F313" s="1016">
        <v>2.403</v>
      </c>
      <c r="G313" s="1016">
        <v>2.2235999999999998</v>
      </c>
      <c r="H313" s="1016">
        <v>2.2235999999999998</v>
      </c>
      <c r="I313" s="1016">
        <v>2</v>
      </c>
      <c r="J313" s="1016">
        <v>2</v>
      </c>
      <c r="K313" s="1016">
        <v>2</v>
      </c>
      <c r="L313" s="1016">
        <v>2</v>
      </c>
      <c r="M313" s="1016">
        <v>2</v>
      </c>
    </row>
    <row r="314" spans="1:13">
      <c r="A314" s="1007">
        <v>0.6</v>
      </c>
      <c r="B314" s="1016">
        <v>1.9177</v>
      </c>
      <c r="C314" s="1016">
        <v>1.9177</v>
      </c>
      <c r="D314" s="1016">
        <v>2.0024999999999999</v>
      </c>
      <c r="E314" s="1016">
        <v>2.0024999999999999</v>
      </c>
      <c r="F314" s="1016">
        <v>2.0024999999999999</v>
      </c>
      <c r="G314" s="1016">
        <v>1.853</v>
      </c>
      <c r="H314" s="1016">
        <v>1.853</v>
      </c>
      <c r="I314" s="1016">
        <v>1.6667000000000001</v>
      </c>
      <c r="J314" s="1016">
        <v>1.6667000000000001</v>
      </c>
      <c r="K314" s="1016">
        <v>1.6667000000000001</v>
      </c>
      <c r="L314" s="1016">
        <v>1.6667000000000001</v>
      </c>
      <c r="M314" s="1016">
        <v>1.6667000000000001</v>
      </c>
    </row>
    <row r="315" spans="1:13">
      <c r="A315" s="1007">
        <v>0.7</v>
      </c>
      <c r="B315" s="1016">
        <v>1.6436999999999999</v>
      </c>
      <c r="C315" s="1016">
        <v>1.6436999999999999</v>
      </c>
      <c r="D315" s="1016">
        <v>1.7163999999999999</v>
      </c>
      <c r="E315" s="1016">
        <v>1.7163999999999999</v>
      </c>
      <c r="F315" s="1016">
        <v>1.7163999999999999</v>
      </c>
      <c r="G315" s="1016">
        <v>1.5883</v>
      </c>
      <c r="H315" s="1016">
        <v>1.5883</v>
      </c>
      <c r="I315" s="1016">
        <v>1.4286000000000001</v>
      </c>
      <c r="J315" s="1016">
        <v>1.4286000000000001</v>
      </c>
      <c r="K315" s="1016">
        <v>1.4286000000000001</v>
      </c>
      <c r="L315" s="1016">
        <v>1.4286000000000001</v>
      </c>
      <c r="M315" s="1016">
        <v>1.4286000000000001</v>
      </c>
    </row>
    <row r="316" spans="1:13">
      <c r="A316" s="1007">
        <v>0.8</v>
      </c>
      <c r="B316" s="1016">
        <v>1.4382999999999999</v>
      </c>
      <c r="C316" s="1016">
        <v>1.4382999999999999</v>
      </c>
      <c r="D316" s="1016">
        <v>1.5019</v>
      </c>
      <c r="E316" s="1016">
        <v>1.5019</v>
      </c>
      <c r="F316" s="1016">
        <v>1.5019</v>
      </c>
      <c r="G316" s="1016">
        <v>1.3897999999999999</v>
      </c>
      <c r="H316" s="1016">
        <v>1.3897999999999999</v>
      </c>
      <c r="I316" s="1016">
        <v>1.25</v>
      </c>
      <c r="J316" s="1016">
        <v>1.25</v>
      </c>
      <c r="K316" s="1016">
        <v>1.25</v>
      </c>
      <c r="L316" s="1016">
        <v>1.25</v>
      </c>
      <c r="M316" s="1016">
        <v>1.25</v>
      </c>
    </row>
    <row r="317" spans="1:13">
      <c r="A317" s="1007">
        <v>0.9</v>
      </c>
      <c r="B317" s="1016">
        <v>1.2784</v>
      </c>
      <c r="C317" s="1016">
        <v>1.2784</v>
      </c>
      <c r="D317" s="1016">
        <v>1.335</v>
      </c>
      <c r="E317" s="1016">
        <v>1.335</v>
      </c>
      <c r="F317" s="1016">
        <v>1.335</v>
      </c>
      <c r="G317" s="1016">
        <v>1.2353000000000001</v>
      </c>
      <c r="H317" s="1016">
        <v>1.2353000000000001</v>
      </c>
      <c r="I317" s="1016">
        <v>1.1111</v>
      </c>
      <c r="J317" s="1016">
        <v>1.1111</v>
      </c>
      <c r="K317" s="1016">
        <v>1.1111</v>
      </c>
      <c r="L317" s="1016">
        <v>1.1111</v>
      </c>
      <c r="M317" s="1016">
        <v>1.1111</v>
      </c>
    </row>
    <row r="318" spans="1:13">
      <c r="A318" s="1007">
        <v>1</v>
      </c>
      <c r="B318" s="1016">
        <v>1.1506000000000001</v>
      </c>
      <c r="C318" s="1016">
        <v>1.1506000000000001</v>
      </c>
      <c r="D318" s="1016">
        <v>1.2015</v>
      </c>
      <c r="E318" s="1016">
        <v>1.2015</v>
      </c>
      <c r="F318" s="1016">
        <v>1.2015</v>
      </c>
      <c r="G318" s="1016">
        <v>1.1117999999999999</v>
      </c>
      <c r="H318" s="1016">
        <v>1.1117999999999999</v>
      </c>
      <c r="I318" s="1016">
        <v>1</v>
      </c>
      <c r="J318" s="1016">
        <v>1</v>
      </c>
      <c r="K318" s="1016">
        <v>1</v>
      </c>
      <c r="L318" s="1016">
        <v>1</v>
      </c>
      <c r="M318" s="1016">
        <v>1</v>
      </c>
    </row>
    <row r="319" spans="1:13">
      <c r="A319" s="1007">
        <v>1.1000000000000001</v>
      </c>
      <c r="B319" s="1016">
        <v>1.1158999999999999</v>
      </c>
      <c r="C319" s="1016">
        <v>1.1158999999999999</v>
      </c>
      <c r="D319" s="1016">
        <v>1.1440999999999999</v>
      </c>
      <c r="E319" s="1016">
        <v>1.1440999999999999</v>
      </c>
      <c r="F319" s="1016">
        <v>1.1440999999999999</v>
      </c>
      <c r="G319" s="1016">
        <v>1.0492999999999999</v>
      </c>
      <c r="H319" s="1016">
        <v>1.0492999999999999</v>
      </c>
      <c r="I319" s="1016">
        <v>0.93730000000000002</v>
      </c>
      <c r="J319" s="1016">
        <v>0.93730000000000002</v>
      </c>
      <c r="K319" s="1016">
        <v>0.93730000000000002</v>
      </c>
      <c r="L319" s="1016">
        <v>0.93730000000000002</v>
      </c>
      <c r="M319" s="1016">
        <v>0.93730000000000002</v>
      </c>
    </row>
    <row r="320" spans="1:13">
      <c r="A320" s="1007">
        <v>1.2</v>
      </c>
      <c r="B320" s="1016">
        <v>1.0837000000000001</v>
      </c>
      <c r="C320" s="1016">
        <v>1.0837000000000001</v>
      </c>
      <c r="D320" s="1016">
        <v>1.0972999999999999</v>
      </c>
      <c r="E320" s="1016">
        <v>1.0972999999999999</v>
      </c>
      <c r="F320" s="1016">
        <v>1.0972999999999999</v>
      </c>
      <c r="G320" s="1016">
        <v>1</v>
      </c>
      <c r="H320" s="1016">
        <v>1</v>
      </c>
      <c r="I320" s="1016">
        <v>0.88890000000000002</v>
      </c>
      <c r="J320" s="1016">
        <v>0.88890000000000002</v>
      </c>
      <c r="K320" s="1016">
        <v>0.88890000000000002</v>
      </c>
      <c r="L320" s="1016">
        <v>0.88890000000000002</v>
      </c>
      <c r="M320" s="1016">
        <v>0.88890000000000002</v>
      </c>
    </row>
    <row r="321" spans="1:13">
      <c r="A321" s="1007">
        <v>1.3</v>
      </c>
      <c r="B321" s="1016">
        <v>1.0538000000000001</v>
      </c>
      <c r="C321" s="1016">
        <v>1.0538000000000001</v>
      </c>
      <c r="D321" s="1016">
        <v>1.0589999999999999</v>
      </c>
      <c r="E321" s="1016">
        <v>1.0589999999999999</v>
      </c>
      <c r="F321" s="1016">
        <v>1.0589999999999999</v>
      </c>
      <c r="G321" s="1016">
        <v>0.96140000000000003</v>
      </c>
      <c r="H321" s="1016">
        <v>0.96140000000000003</v>
      </c>
      <c r="I321" s="1016">
        <v>0.85209999999999997</v>
      </c>
      <c r="J321" s="1016">
        <v>0.85209999999999997</v>
      </c>
      <c r="K321" s="1016">
        <v>0.85209999999999997</v>
      </c>
      <c r="L321" s="1016">
        <v>0.85209999999999997</v>
      </c>
      <c r="M321" s="1016">
        <v>0.85209999999999997</v>
      </c>
    </row>
    <row r="322" spans="1:13">
      <c r="A322" s="1007">
        <v>1.4</v>
      </c>
      <c r="B322" s="1016">
        <v>1.026</v>
      </c>
      <c r="C322" s="1016">
        <v>1.026</v>
      </c>
      <c r="D322" s="1016">
        <v>1.0271999999999999</v>
      </c>
      <c r="E322" s="1016">
        <v>1.0271999999999999</v>
      </c>
      <c r="F322" s="1016">
        <v>1.0271999999999999</v>
      </c>
      <c r="G322" s="1016">
        <v>0.93079999999999996</v>
      </c>
      <c r="H322" s="1016">
        <v>0.93079999999999996</v>
      </c>
      <c r="I322" s="1016">
        <v>0.82379999999999998</v>
      </c>
      <c r="J322" s="1016">
        <v>0.82379999999999998</v>
      </c>
      <c r="K322" s="1016">
        <v>0.82379999999999998</v>
      </c>
      <c r="L322" s="1016">
        <v>0.82379999999999998</v>
      </c>
      <c r="M322" s="1016">
        <v>0.82379999999999998</v>
      </c>
    </row>
    <row r="323" spans="1:13">
      <c r="A323" s="1007">
        <v>1.5</v>
      </c>
      <c r="B323" s="1016">
        <v>1</v>
      </c>
      <c r="C323" s="1016">
        <v>1</v>
      </c>
      <c r="D323" s="1016">
        <v>1</v>
      </c>
      <c r="E323" s="1016">
        <v>1</v>
      </c>
      <c r="F323" s="1016">
        <v>1</v>
      </c>
      <c r="G323" s="1016">
        <v>0.90559999999999996</v>
      </c>
      <c r="H323" s="1016">
        <v>0.90559999999999996</v>
      </c>
      <c r="I323" s="1016">
        <v>0.80110000000000003</v>
      </c>
      <c r="J323" s="1016">
        <v>0.80110000000000003</v>
      </c>
      <c r="K323" s="1016">
        <v>0.80110000000000003</v>
      </c>
      <c r="L323" s="1016">
        <v>0.80110000000000003</v>
      </c>
      <c r="M323" s="1016">
        <v>0.80110000000000003</v>
      </c>
    </row>
    <row r="324" spans="1:13">
      <c r="A324" s="1007">
        <v>1.6</v>
      </c>
      <c r="B324" s="1016">
        <v>0.97570000000000001</v>
      </c>
      <c r="C324" s="1016">
        <v>0.97570000000000001</v>
      </c>
      <c r="D324" s="1016">
        <v>0.97519999999999996</v>
      </c>
      <c r="E324" s="1016">
        <v>0.97519999999999996</v>
      </c>
      <c r="F324" s="1016">
        <v>0.97519999999999996</v>
      </c>
      <c r="G324" s="1016">
        <v>0.8831</v>
      </c>
      <c r="H324" s="1016">
        <v>0.8831</v>
      </c>
      <c r="I324" s="1016">
        <v>0.78100000000000003</v>
      </c>
      <c r="J324" s="1016">
        <v>0.78100000000000003</v>
      </c>
      <c r="K324" s="1016">
        <v>0.78100000000000003</v>
      </c>
      <c r="L324" s="1016">
        <v>0.78100000000000003</v>
      </c>
      <c r="M324" s="1016">
        <v>0.78100000000000003</v>
      </c>
    </row>
    <row r="325" spans="1:13">
      <c r="A325" s="1007">
        <v>1.7</v>
      </c>
      <c r="B325" s="1016">
        <v>0.95289999999999997</v>
      </c>
      <c r="C325" s="1016">
        <v>0.95289999999999997</v>
      </c>
      <c r="D325" s="1016">
        <v>0.95189999999999997</v>
      </c>
      <c r="E325" s="1016">
        <v>0.95189999999999997</v>
      </c>
      <c r="F325" s="1016">
        <v>0.95189999999999997</v>
      </c>
      <c r="G325" s="1016">
        <v>0.86180000000000001</v>
      </c>
      <c r="H325" s="1016">
        <v>0.86180000000000001</v>
      </c>
      <c r="I325" s="1016">
        <v>0.7621</v>
      </c>
      <c r="J325" s="1016">
        <v>0.7621</v>
      </c>
      <c r="K325" s="1016">
        <v>0.7621</v>
      </c>
      <c r="L325" s="1016">
        <v>0.7621</v>
      </c>
      <c r="M325" s="1016">
        <v>0.7621</v>
      </c>
    </row>
    <row r="326" spans="1:13">
      <c r="A326" s="1007">
        <v>1.8</v>
      </c>
      <c r="B326" s="1016">
        <v>0.93149999999999999</v>
      </c>
      <c r="C326" s="1016">
        <v>0.93149999999999999</v>
      </c>
      <c r="D326" s="1016">
        <v>0.93</v>
      </c>
      <c r="E326" s="1016">
        <v>0.93</v>
      </c>
      <c r="F326" s="1016">
        <v>0.93</v>
      </c>
      <c r="G326" s="1016">
        <v>0.84179999999999999</v>
      </c>
      <c r="H326" s="1016">
        <v>0.84179999999999999</v>
      </c>
      <c r="I326" s="1016">
        <v>0.74419999999999997</v>
      </c>
      <c r="J326" s="1016">
        <v>0.74419999999999997</v>
      </c>
      <c r="K326" s="1016">
        <v>0.74419999999999997</v>
      </c>
      <c r="L326" s="1016">
        <v>0.74419999999999997</v>
      </c>
      <c r="M326" s="1016">
        <v>0.74419999999999997</v>
      </c>
    </row>
    <row r="327" spans="1:13">
      <c r="A327" s="1007">
        <v>1.9</v>
      </c>
      <c r="B327" s="1016">
        <v>0.91139999999999999</v>
      </c>
      <c r="C327" s="1016">
        <v>0.91139999999999999</v>
      </c>
      <c r="D327" s="1016">
        <v>0.90939999999999999</v>
      </c>
      <c r="E327" s="1016">
        <v>0.90939999999999999</v>
      </c>
      <c r="F327" s="1016">
        <v>0.90939999999999999</v>
      </c>
      <c r="G327" s="1016">
        <v>0.82289999999999996</v>
      </c>
      <c r="H327" s="1016">
        <v>0.82289999999999996</v>
      </c>
      <c r="I327" s="1016">
        <v>0.72740000000000005</v>
      </c>
      <c r="J327" s="1016">
        <v>0.72740000000000005</v>
      </c>
      <c r="K327" s="1016">
        <v>0.72740000000000005</v>
      </c>
      <c r="L327" s="1016">
        <v>0.72740000000000005</v>
      </c>
      <c r="M327" s="1016">
        <v>0.72740000000000005</v>
      </c>
    </row>
    <row r="328" spans="1:13">
      <c r="A328" s="1007">
        <v>2</v>
      </c>
      <c r="B328" s="1016">
        <v>0.89270000000000005</v>
      </c>
      <c r="C328" s="1016">
        <v>0.89270000000000005</v>
      </c>
      <c r="D328" s="1016">
        <v>0.8901</v>
      </c>
      <c r="E328" s="1016">
        <v>0.8901</v>
      </c>
      <c r="F328" s="1016">
        <v>0.8901</v>
      </c>
      <c r="G328" s="1016">
        <v>0.80530000000000002</v>
      </c>
      <c r="H328" s="1016">
        <v>0.80530000000000002</v>
      </c>
      <c r="I328" s="1016">
        <v>0.71160000000000001</v>
      </c>
      <c r="J328" s="1016">
        <v>0.71160000000000001</v>
      </c>
      <c r="K328" s="1016">
        <v>0.71160000000000001</v>
      </c>
      <c r="L328" s="1016">
        <v>0.71160000000000001</v>
      </c>
      <c r="M328" s="1016">
        <v>0.71160000000000001</v>
      </c>
    </row>
    <row r="329" spans="1:13">
      <c r="A329" s="1031">
        <v>2.1</v>
      </c>
      <c r="B329" s="1016">
        <v>0.87519999999999998</v>
      </c>
      <c r="C329" s="1016">
        <v>0.87519999999999998</v>
      </c>
      <c r="D329" s="1016">
        <v>0.872</v>
      </c>
      <c r="E329" s="1016">
        <v>0.872</v>
      </c>
      <c r="F329" s="1016">
        <v>0.872</v>
      </c>
      <c r="G329" s="1016">
        <v>0.78869999999999996</v>
      </c>
      <c r="H329" s="1016">
        <v>0.78869999999999996</v>
      </c>
      <c r="I329" s="1016">
        <v>0.69669999999999999</v>
      </c>
      <c r="J329" s="1016">
        <v>0.69669999999999999</v>
      </c>
      <c r="K329" s="1016">
        <v>0.69669999999999999</v>
      </c>
      <c r="L329" s="1016">
        <v>0.69669999999999999</v>
      </c>
      <c r="M329" s="1016">
        <v>0.69669999999999999</v>
      </c>
    </row>
    <row r="330" spans="1:13">
      <c r="A330" s="1031">
        <v>2.2000000000000002</v>
      </c>
      <c r="B330" s="1016">
        <v>0.85880000000000001</v>
      </c>
      <c r="C330" s="1016">
        <v>0.85880000000000001</v>
      </c>
      <c r="D330" s="1016">
        <v>0.85499999999999998</v>
      </c>
      <c r="E330" s="1016">
        <v>0.85499999999999998</v>
      </c>
      <c r="F330" s="1016">
        <v>0.85499999999999998</v>
      </c>
      <c r="G330" s="1016">
        <v>0.77300000000000002</v>
      </c>
      <c r="H330" s="1016">
        <v>0.77300000000000002</v>
      </c>
      <c r="I330" s="1016">
        <v>0.68269999999999997</v>
      </c>
      <c r="J330" s="1016">
        <v>0.68269999999999997</v>
      </c>
      <c r="K330" s="1016">
        <v>0.68269999999999997</v>
      </c>
      <c r="L330" s="1016">
        <v>0.68269999999999997</v>
      </c>
      <c r="M330" s="1016">
        <v>0.68269999999999997</v>
      </c>
    </row>
    <row r="331" spans="1:13">
      <c r="A331" s="1031">
        <v>2.2999999999999998</v>
      </c>
      <c r="B331" s="1016">
        <v>0.84360000000000002</v>
      </c>
      <c r="C331" s="1016">
        <v>0.84360000000000002</v>
      </c>
      <c r="D331" s="1016">
        <v>0.83899999999999997</v>
      </c>
      <c r="E331" s="1016">
        <v>0.83899999999999997</v>
      </c>
      <c r="F331" s="1016">
        <v>0.83899999999999997</v>
      </c>
      <c r="G331" s="1016">
        <v>0.75839999999999996</v>
      </c>
      <c r="H331" s="1016">
        <v>0.75839999999999996</v>
      </c>
      <c r="I331" s="1016">
        <v>0.66949999999999998</v>
      </c>
      <c r="J331" s="1016">
        <v>0.66949999999999998</v>
      </c>
      <c r="K331" s="1016">
        <v>0.66949999999999998</v>
      </c>
      <c r="L331" s="1016">
        <v>0.66949999999999998</v>
      </c>
      <c r="M331" s="1016">
        <v>0.66949999999999998</v>
      </c>
    </row>
    <row r="332" spans="1:13">
      <c r="A332" s="1031">
        <v>2.4</v>
      </c>
      <c r="B332" s="1016">
        <v>0.82940000000000003</v>
      </c>
      <c r="C332" s="1016">
        <v>0.82940000000000003</v>
      </c>
      <c r="D332" s="1016">
        <v>0.82410000000000005</v>
      </c>
      <c r="E332" s="1016">
        <v>0.82410000000000005</v>
      </c>
      <c r="F332" s="1016">
        <v>0.82410000000000005</v>
      </c>
      <c r="G332" s="1016">
        <v>0.74460000000000004</v>
      </c>
      <c r="H332" s="1016">
        <v>0.74460000000000004</v>
      </c>
      <c r="I332" s="1016">
        <v>0.65710000000000002</v>
      </c>
      <c r="J332" s="1016">
        <v>0.65710000000000002</v>
      </c>
      <c r="K332" s="1016">
        <v>0.65710000000000002</v>
      </c>
      <c r="L332" s="1016">
        <v>0.65710000000000002</v>
      </c>
      <c r="M332" s="1016">
        <v>0.65710000000000002</v>
      </c>
    </row>
    <row r="333" spans="1:13">
      <c r="A333" s="1031">
        <v>2.5</v>
      </c>
      <c r="B333" s="1016">
        <v>0.81620000000000004</v>
      </c>
      <c r="C333" s="1016">
        <v>0.81620000000000004</v>
      </c>
      <c r="D333" s="1016">
        <v>0.81020000000000003</v>
      </c>
      <c r="E333" s="1016">
        <v>0.81020000000000003</v>
      </c>
      <c r="F333" s="1016">
        <v>0.81020000000000003</v>
      </c>
      <c r="G333" s="1016">
        <v>0.73180000000000001</v>
      </c>
      <c r="H333" s="1016">
        <v>0.73180000000000001</v>
      </c>
      <c r="I333" s="1016">
        <v>0.64549999999999996</v>
      </c>
      <c r="J333" s="1016">
        <v>0.64549999999999996</v>
      </c>
      <c r="K333" s="1016">
        <v>0.64549999999999996</v>
      </c>
      <c r="L333" s="1016">
        <v>0.64549999999999996</v>
      </c>
      <c r="M333" s="1016">
        <v>0.64549999999999996</v>
      </c>
    </row>
    <row r="334" spans="1:13">
      <c r="A334" s="1031">
        <v>2.6</v>
      </c>
      <c r="B334" s="1016">
        <v>0.80389999999999995</v>
      </c>
      <c r="C334" s="1016">
        <v>0.80389999999999995</v>
      </c>
      <c r="D334" s="1016">
        <v>0.79710000000000003</v>
      </c>
      <c r="E334" s="1016">
        <v>0.79710000000000003</v>
      </c>
      <c r="F334" s="1016">
        <v>0.79710000000000003</v>
      </c>
      <c r="G334" s="1016">
        <v>0.71970000000000001</v>
      </c>
      <c r="H334" s="1016">
        <v>0.71970000000000001</v>
      </c>
      <c r="I334" s="1016">
        <v>0.63460000000000005</v>
      </c>
      <c r="J334" s="1016">
        <v>0.63460000000000005</v>
      </c>
      <c r="K334" s="1016">
        <v>0.63460000000000005</v>
      </c>
      <c r="L334" s="1016">
        <v>0.63460000000000005</v>
      </c>
      <c r="M334" s="1016">
        <v>0.63460000000000005</v>
      </c>
    </row>
    <row r="335" spans="1:13">
      <c r="A335" s="1031">
        <v>2.7</v>
      </c>
      <c r="B335" s="1016">
        <v>0.79249999999999998</v>
      </c>
      <c r="C335" s="1016">
        <v>0.79249999999999998</v>
      </c>
      <c r="D335" s="1016">
        <v>0.78490000000000004</v>
      </c>
      <c r="E335" s="1016">
        <v>0.78490000000000004</v>
      </c>
      <c r="F335" s="1016">
        <v>0.78490000000000004</v>
      </c>
      <c r="G335" s="1016">
        <v>0.70840000000000003</v>
      </c>
      <c r="H335" s="1016">
        <v>0.70840000000000003</v>
      </c>
      <c r="I335" s="1016">
        <v>0.62439999999999996</v>
      </c>
      <c r="J335" s="1016">
        <v>0.62439999999999996</v>
      </c>
      <c r="K335" s="1016">
        <v>0.62439999999999996</v>
      </c>
      <c r="L335" s="1016">
        <v>0.62439999999999996</v>
      </c>
      <c r="M335" s="1016">
        <v>0.62439999999999996</v>
      </c>
    </row>
    <row r="336" spans="1:13">
      <c r="A336" s="1031">
        <v>2.8</v>
      </c>
      <c r="B336" s="1016">
        <v>0.78190000000000004</v>
      </c>
      <c r="C336" s="1016">
        <v>0.78190000000000004</v>
      </c>
      <c r="D336" s="1016">
        <v>0.77359999999999995</v>
      </c>
      <c r="E336" s="1016">
        <v>0.77359999999999995</v>
      </c>
      <c r="F336" s="1016">
        <v>0.77359999999999995</v>
      </c>
      <c r="G336" s="1016">
        <v>0.69789999999999996</v>
      </c>
      <c r="H336" s="1016">
        <v>0.69789999999999996</v>
      </c>
      <c r="I336" s="1016">
        <v>0.61480000000000001</v>
      </c>
      <c r="J336" s="1016">
        <v>0.61480000000000001</v>
      </c>
      <c r="K336" s="1016">
        <v>0.61480000000000001</v>
      </c>
      <c r="L336" s="1016">
        <v>0.61480000000000001</v>
      </c>
      <c r="M336" s="1016">
        <v>0.61480000000000001</v>
      </c>
    </row>
    <row r="337" spans="1:13">
      <c r="A337" s="1031">
        <v>2.9</v>
      </c>
      <c r="B337" s="1016">
        <v>0.77210000000000001</v>
      </c>
      <c r="C337" s="1016">
        <v>0.77210000000000001</v>
      </c>
      <c r="D337" s="1016">
        <v>0.76300000000000001</v>
      </c>
      <c r="E337" s="1016">
        <v>0.76300000000000001</v>
      </c>
      <c r="F337" s="1016">
        <v>0.76300000000000001</v>
      </c>
      <c r="G337" s="1016">
        <v>0.68799999999999994</v>
      </c>
      <c r="H337" s="1016">
        <v>0.68799999999999994</v>
      </c>
      <c r="I337" s="1016">
        <v>0.60589999999999999</v>
      </c>
      <c r="J337" s="1016">
        <v>0.60589999999999999</v>
      </c>
      <c r="K337" s="1016">
        <v>0.60589999999999999</v>
      </c>
      <c r="L337" s="1016">
        <v>0.60589999999999999</v>
      </c>
      <c r="M337" s="1016">
        <v>0.60589999999999999</v>
      </c>
    </row>
    <row r="338" spans="1:13">
      <c r="A338" s="1031">
        <v>3</v>
      </c>
      <c r="B338" s="1016">
        <v>0.7631</v>
      </c>
      <c r="C338" s="1016">
        <v>0.7631</v>
      </c>
      <c r="D338" s="1016">
        <v>0.75309999999999999</v>
      </c>
      <c r="E338" s="1016">
        <v>0.75309999999999999</v>
      </c>
      <c r="F338" s="1016">
        <v>0.75309999999999999</v>
      </c>
      <c r="G338" s="1016">
        <v>0.67879999999999996</v>
      </c>
      <c r="H338" s="1016">
        <v>0.67879999999999996</v>
      </c>
      <c r="I338" s="1016">
        <v>0.59750000000000003</v>
      </c>
      <c r="J338" s="1016">
        <v>0.59750000000000003</v>
      </c>
      <c r="K338" s="1016">
        <v>0.59750000000000003</v>
      </c>
      <c r="L338" s="1016">
        <v>0.59750000000000003</v>
      </c>
      <c r="M338" s="1016">
        <v>0.59750000000000003</v>
      </c>
    </row>
    <row r="339" spans="1:13">
      <c r="A339" s="1031">
        <v>3.1</v>
      </c>
      <c r="B339" s="1016">
        <v>0.75470000000000004</v>
      </c>
      <c r="C339" s="1016">
        <v>0.75470000000000004</v>
      </c>
      <c r="D339" s="1016">
        <v>0.74399999999999999</v>
      </c>
      <c r="E339" s="1016">
        <v>0.74399999999999999</v>
      </c>
      <c r="F339" s="1016">
        <v>0.74399999999999999</v>
      </c>
      <c r="G339" s="1016">
        <v>0.67020000000000002</v>
      </c>
      <c r="H339" s="1016">
        <v>0.67020000000000002</v>
      </c>
      <c r="I339" s="1016">
        <v>0.5897</v>
      </c>
      <c r="J339" s="1016">
        <v>0.5897</v>
      </c>
      <c r="K339" s="1016">
        <v>0.5897</v>
      </c>
      <c r="L339" s="1016">
        <v>0.5897</v>
      </c>
      <c r="M339" s="1016">
        <v>0.5897</v>
      </c>
    </row>
    <row r="340" spans="1:13">
      <c r="A340" s="1031">
        <v>3.2</v>
      </c>
      <c r="B340" s="1016">
        <v>0.747</v>
      </c>
      <c r="C340" s="1016">
        <v>0.747</v>
      </c>
      <c r="D340" s="1016">
        <v>0.73540000000000005</v>
      </c>
      <c r="E340" s="1016">
        <v>0.73540000000000005</v>
      </c>
      <c r="F340" s="1016">
        <v>0.73540000000000005</v>
      </c>
      <c r="G340" s="1016">
        <v>0.66220000000000001</v>
      </c>
      <c r="H340" s="1016">
        <v>0.66220000000000001</v>
      </c>
      <c r="I340" s="1016">
        <v>0.58230000000000004</v>
      </c>
      <c r="J340" s="1016">
        <v>0.58230000000000004</v>
      </c>
      <c r="K340" s="1016">
        <v>0.58230000000000004</v>
      </c>
      <c r="L340" s="1016">
        <v>0.58230000000000004</v>
      </c>
      <c r="M340" s="1016">
        <v>0.58230000000000004</v>
      </c>
    </row>
    <row r="341" spans="1:13">
      <c r="A341" s="1031">
        <v>3.3</v>
      </c>
      <c r="B341" s="1016">
        <v>0.7399</v>
      </c>
      <c r="C341" s="1016">
        <v>0.7399</v>
      </c>
      <c r="D341" s="1016">
        <v>0.72750000000000004</v>
      </c>
      <c r="E341" s="1016">
        <v>0.72750000000000004</v>
      </c>
      <c r="F341" s="1016">
        <v>0.72750000000000004</v>
      </c>
      <c r="G341" s="1016">
        <v>0.65480000000000005</v>
      </c>
      <c r="H341" s="1016">
        <v>0.65480000000000005</v>
      </c>
      <c r="I341" s="1016">
        <v>0.57540000000000002</v>
      </c>
      <c r="J341" s="1016">
        <v>0.57540000000000002</v>
      </c>
      <c r="K341" s="1016">
        <v>0.57540000000000002</v>
      </c>
      <c r="L341" s="1016">
        <v>0.57540000000000002</v>
      </c>
      <c r="M341" s="1016">
        <v>0.57540000000000002</v>
      </c>
    </row>
    <row r="342" spans="1:13">
      <c r="A342" s="1031">
        <v>3.4</v>
      </c>
      <c r="B342" s="1016">
        <v>0.73340000000000005</v>
      </c>
      <c r="C342" s="1016">
        <v>0.73340000000000005</v>
      </c>
      <c r="D342" s="1016">
        <v>0.72009999999999996</v>
      </c>
      <c r="E342" s="1016">
        <v>0.72009999999999996</v>
      </c>
      <c r="F342" s="1016">
        <v>0.72009999999999996</v>
      </c>
      <c r="G342" s="1016">
        <v>0.64780000000000004</v>
      </c>
      <c r="H342" s="1016">
        <v>0.64780000000000004</v>
      </c>
      <c r="I342" s="1016">
        <v>0.56899999999999995</v>
      </c>
      <c r="J342" s="1016">
        <v>0.56899999999999995</v>
      </c>
      <c r="K342" s="1016">
        <v>0.56899999999999995</v>
      </c>
      <c r="L342" s="1016">
        <v>0.56899999999999995</v>
      </c>
      <c r="M342" s="1016">
        <v>0.56899999999999995</v>
      </c>
    </row>
    <row r="343" spans="1:13">
      <c r="A343" s="1031">
        <v>3.5</v>
      </c>
      <c r="B343" s="1016">
        <v>0.72740000000000005</v>
      </c>
      <c r="C343" s="1016">
        <v>0.72740000000000005</v>
      </c>
      <c r="D343" s="1016">
        <v>0.71330000000000005</v>
      </c>
      <c r="E343" s="1016">
        <v>0.71330000000000005</v>
      </c>
      <c r="F343" s="1016">
        <v>0.71330000000000005</v>
      </c>
      <c r="G343" s="1016">
        <v>0.64129999999999998</v>
      </c>
      <c r="H343" s="1016">
        <v>0.64129999999999998</v>
      </c>
      <c r="I343" s="1016">
        <v>0.56310000000000004</v>
      </c>
      <c r="J343" s="1016">
        <v>0.56310000000000004</v>
      </c>
      <c r="K343" s="1016">
        <v>0.56310000000000004</v>
      </c>
      <c r="L343" s="1016">
        <v>0.56310000000000004</v>
      </c>
      <c r="M343" s="1016">
        <v>0.56310000000000004</v>
      </c>
    </row>
    <row r="344" spans="1:13">
      <c r="A344" s="1031">
        <v>3.6</v>
      </c>
      <c r="B344" s="1016">
        <v>0.72189999999999999</v>
      </c>
      <c r="C344" s="1016">
        <v>0.72189999999999999</v>
      </c>
      <c r="D344" s="1016">
        <v>0.70699999999999996</v>
      </c>
      <c r="E344" s="1016">
        <v>0.70699999999999996</v>
      </c>
      <c r="F344" s="1016">
        <v>0.70699999999999996</v>
      </c>
      <c r="G344" s="1016">
        <v>0.63529999999999998</v>
      </c>
      <c r="H344" s="1016">
        <v>0.63529999999999998</v>
      </c>
      <c r="I344" s="1016">
        <v>0.5575</v>
      </c>
      <c r="J344" s="1016">
        <v>0.5575</v>
      </c>
      <c r="K344" s="1016">
        <v>0.5575</v>
      </c>
      <c r="L344" s="1016">
        <v>0.5575</v>
      </c>
      <c r="M344" s="1016">
        <v>0.5575</v>
      </c>
    </row>
    <row r="345" spans="1:13">
      <c r="A345" s="1031">
        <v>3.7</v>
      </c>
      <c r="B345" s="1016">
        <v>0.71679999999999999</v>
      </c>
      <c r="C345" s="1016">
        <v>0.71679999999999999</v>
      </c>
      <c r="D345" s="1016">
        <v>0.70109999999999995</v>
      </c>
      <c r="E345" s="1016">
        <v>0.70109999999999995</v>
      </c>
      <c r="F345" s="1016">
        <v>0.70109999999999995</v>
      </c>
      <c r="G345" s="1016">
        <v>0.62970000000000004</v>
      </c>
      <c r="H345" s="1016">
        <v>0.62970000000000004</v>
      </c>
      <c r="I345" s="1016">
        <v>0.55230000000000001</v>
      </c>
      <c r="J345" s="1016">
        <v>0.55230000000000001</v>
      </c>
      <c r="K345" s="1016">
        <v>0.55230000000000001</v>
      </c>
      <c r="L345" s="1016">
        <v>0.55230000000000001</v>
      </c>
      <c r="M345" s="1016">
        <v>0.55230000000000001</v>
      </c>
    </row>
    <row r="346" spans="1:13">
      <c r="A346" s="1031">
        <v>3.8</v>
      </c>
      <c r="B346" s="1016">
        <v>0.71220000000000006</v>
      </c>
      <c r="C346" s="1016">
        <v>0.71220000000000006</v>
      </c>
      <c r="D346" s="1016">
        <v>0.6956</v>
      </c>
      <c r="E346" s="1016">
        <v>0.6956</v>
      </c>
      <c r="F346" s="1016">
        <v>0.6956</v>
      </c>
      <c r="G346" s="1016">
        <v>0.62439999999999996</v>
      </c>
      <c r="H346" s="1016">
        <v>0.62439999999999996</v>
      </c>
      <c r="I346" s="1016">
        <v>0.5474</v>
      </c>
      <c r="J346" s="1016">
        <v>0.5474</v>
      </c>
      <c r="K346" s="1016">
        <v>0.5474</v>
      </c>
      <c r="L346" s="1016">
        <v>0.5474</v>
      </c>
      <c r="M346" s="1016">
        <v>0.5474</v>
      </c>
    </row>
    <row r="347" spans="1:13">
      <c r="A347" s="1031">
        <v>3.9</v>
      </c>
      <c r="B347" s="1016">
        <v>0.70799999999999996</v>
      </c>
      <c r="C347" s="1016">
        <v>0.70799999999999996</v>
      </c>
      <c r="D347" s="1016">
        <v>0.69059999999999999</v>
      </c>
      <c r="E347" s="1016">
        <v>0.69059999999999999</v>
      </c>
      <c r="F347" s="1016">
        <v>0.69059999999999999</v>
      </c>
      <c r="G347" s="1016">
        <v>0.61950000000000005</v>
      </c>
      <c r="H347" s="1016">
        <v>0.61950000000000005</v>
      </c>
      <c r="I347" s="1016">
        <v>0.54279999999999995</v>
      </c>
      <c r="J347" s="1016">
        <v>0.54279999999999995</v>
      </c>
      <c r="K347" s="1016">
        <v>0.54279999999999995</v>
      </c>
      <c r="L347" s="1016">
        <v>0.54279999999999995</v>
      </c>
      <c r="M347" s="1016">
        <v>0.54279999999999995</v>
      </c>
    </row>
    <row r="348" spans="1:13">
      <c r="A348" s="1031">
        <v>4</v>
      </c>
      <c r="B348" s="1016">
        <v>0.70409999999999995</v>
      </c>
      <c r="C348" s="1016">
        <v>0.70409999999999995</v>
      </c>
      <c r="D348" s="1016">
        <v>0.68589999999999995</v>
      </c>
      <c r="E348" s="1016">
        <v>0.68589999999999995</v>
      </c>
      <c r="F348" s="1016">
        <v>0.68589999999999995</v>
      </c>
      <c r="G348" s="1016">
        <v>0.61499999999999999</v>
      </c>
      <c r="H348" s="1016">
        <v>0.61499999999999999</v>
      </c>
      <c r="I348" s="1016">
        <v>0.53859999999999997</v>
      </c>
      <c r="J348" s="1016">
        <v>0.53859999999999997</v>
      </c>
      <c r="K348" s="1016">
        <v>0.53859999999999997</v>
      </c>
      <c r="L348" s="1016">
        <v>0.53859999999999997</v>
      </c>
      <c r="M348" s="1016">
        <v>0.53859999999999997</v>
      </c>
    </row>
    <row r="349" spans="1:13">
      <c r="A349" s="1031">
        <v>4.0999999999999996</v>
      </c>
      <c r="B349" s="1016">
        <v>0.7006</v>
      </c>
      <c r="C349" s="1016">
        <v>0.7006</v>
      </c>
      <c r="D349" s="1016">
        <v>0.68159999999999998</v>
      </c>
      <c r="E349" s="1016">
        <v>0.68159999999999998</v>
      </c>
      <c r="F349" s="1016">
        <v>0.68159999999999998</v>
      </c>
      <c r="G349" s="1016">
        <v>0.61080000000000001</v>
      </c>
      <c r="H349" s="1016">
        <v>0.61080000000000001</v>
      </c>
      <c r="I349" s="1016">
        <v>0.53459999999999996</v>
      </c>
      <c r="J349" s="1016">
        <v>0.53459999999999996</v>
      </c>
      <c r="K349" s="1016">
        <v>0.53459999999999996</v>
      </c>
      <c r="L349" s="1016">
        <v>0.53459999999999996</v>
      </c>
      <c r="M349" s="1016">
        <v>0.53459999999999996</v>
      </c>
    </row>
    <row r="350" spans="1:13">
      <c r="A350" s="1031">
        <v>4.2</v>
      </c>
      <c r="B350" s="1016">
        <v>0.69740000000000002</v>
      </c>
      <c r="C350" s="1016">
        <v>0.69740000000000002</v>
      </c>
      <c r="D350" s="1016">
        <v>0.67759999999999998</v>
      </c>
      <c r="E350" s="1016">
        <v>0.67759999999999998</v>
      </c>
      <c r="F350" s="1016">
        <v>0.67759999999999998</v>
      </c>
      <c r="G350" s="1016">
        <v>0.60699999999999998</v>
      </c>
      <c r="H350" s="1016">
        <v>0.60699999999999998</v>
      </c>
      <c r="I350" s="1016">
        <v>0.53090000000000004</v>
      </c>
      <c r="J350" s="1016">
        <v>0.53090000000000004</v>
      </c>
      <c r="K350" s="1016">
        <v>0.53090000000000004</v>
      </c>
      <c r="L350" s="1016">
        <v>0.53090000000000004</v>
      </c>
      <c r="M350" s="1016">
        <v>0.53090000000000004</v>
      </c>
    </row>
    <row r="351" spans="1:13">
      <c r="A351" s="1031">
        <v>4.3</v>
      </c>
      <c r="B351" s="1016">
        <v>0.69450000000000001</v>
      </c>
      <c r="C351" s="1016">
        <v>0.69450000000000001</v>
      </c>
      <c r="D351" s="1016">
        <v>0.67390000000000005</v>
      </c>
      <c r="E351" s="1016">
        <v>0.67390000000000005</v>
      </c>
      <c r="F351" s="1016">
        <v>0.67390000000000005</v>
      </c>
      <c r="G351" s="1016">
        <v>0.60329999999999995</v>
      </c>
      <c r="H351" s="1016">
        <v>0.60329999999999995</v>
      </c>
      <c r="I351" s="1016">
        <v>0.52739999999999998</v>
      </c>
      <c r="J351" s="1016">
        <v>0.52739999999999998</v>
      </c>
      <c r="K351" s="1016">
        <v>0.52739999999999998</v>
      </c>
      <c r="L351" s="1016">
        <v>0.52739999999999998</v>
      </c>
      <c r="M351" s="1016">
        <v>0.52739999999999998</v>
      </c>
    </row>
    <row r="352" spans="1:13">
      <c r="A352" s="1031">
        <v>4.4000000000000004</v>
      </c>
      <c r="B352" s="1016">
        <v>0.69179999999999997</v>
      </c>
      <c r="C352" s="1016">
        <v>0.69179999999999997</v>
      </c>
      <c r="D352" s="1016">
        <v>0.67049999999999998</v>
      </c>
      <c r="E352" s="1016">
        <v>0.67049999999999998</v>
      </c>
      <c r="F352" s="1016">
        <v>0.67049999999999998</v>
      </c>
      <c r="G352" s="1016">
        <v>0.59989999999999999</v>
      </c>
      <c r="H352" s="1016">
        <v>0.59989999999999999</v>
      </c>
      <c r="I352" s="1016">
        <v>0.5242</v>
      </c>
      <c r="J352" s="1016">
        <v>0.5242</v>
      </c>
      <c r="K352" s="1016">
        <v>0.5242</v>
      </c>
      <c r="L352" s="1016">
        <v>0.5242</v>
      </c>
      <c r="M352" s="1016">
        <v>0.5242</v>
      </c>
    </row>
    <row r="353" spans="1:13">
      <c r="A353" s="1031">
        <v>4.5</v>
      </c>
      <c r="B353" s="1016">
        <v>0.68940000000000001</v>
      </c>
      <c r="C353" s="1016">
        <v>0.68940000000000001</v>
      </c>
      <c r="D353" s="1016">
        <v>0.6673</v>
      </c>
      <c r="E353" s="1016">
        <v>0.6673</v>
      </c>
      <c r="F353" s="1016">
        <v>0.6673</v>
      </c>
      <c r="G353" s="1016">
        <v>0.59670000000000001</v>
      </c>
      <c r="H353" s="1016">
        <v>0.59670000000000001</v>
      </c>
      <c r="I353" s="1016">
        <v>0.52110000000000001</v>
      </c>
      <c r="J353" s="1016">
        <v>0.52110000000000001</v>
      </c>
      <c r="K353" s="1016">
        <v>0.52110000000000001</v>
      </c>
      <c r="L353" s="1016">
        <v>0.52110000000000001</v>
      </c>
      <c r="M353" s="1016">
        <v>0.52110000000000001</v>
      </c>
    </row>
    <row r="354" spans="1:13">
      <c r="A354" s="1031">
        <v>4.5999999999999996</v>
      </c>
      <c r="B354" s="1016">
        <v>0.68720000000000003</v>
      </c>
      <c r="C354" s="1016">
        <v>0.68720000000000003</v>
      </c>
      <c r="D354" s="1016">
        <v>0.6643</v>
      </c>
      <c r="E354" s="1016">
        <v>0.6643</v>
      </c>
      <c r="F354" s="1016">
        <v>0.6643</v>
      </c>
      <c r="G354" s="1016">
        <v>0.59379999999999999</v>
      </c>
      <c r="H354" s="1016">
        <v>0.59379999999999999</v>
      </c>
      <c r="I354" s="1016">
        <v>0.51819999999999999</v>
      </c>
      <c r="J354" s="1016">
        <v>0.51819999999999999</v>
      </c>
      <c r="K354" s="1016">
        <v>0.51819999999999999</v>
      </c>
      <c r="L354" s="1016">
        <v>0.51819999999999999</v>
      </c>
      <c r="M354" s="1016">
        <v>0.51819999999999999</v>
      </c>
    </row>
    <row r="355" spans="1:13">
      <c r="A355" s="1031">
        <v>4.7</v>
      </c>
      <c r="B355" s="1016">
        <v>0.68520000000000003</v>
      </c>
      <c r="C355" s="1016">
        <v>0.68520000000000003</v>
      </c>
      <c r="D355" s="1016">
        <v>0.66149999999999998</v>
      </c>
      <c r="E355" s="1016">
        <v>0.66149999999999998</v>
      </c>
      <c r="F355" s="1016">
        <v>0.66149999999999998</v>
      </c>
      <c r="G355" s="1016">
        <v>0.59109999999999996</v>
      </c>
      <c r="H355" s="1016">
        <v>0.59109999999999996</v>
      </c>
      <c r="I355" s="1016">
        <v>0.51559999999999995</v>
      </c>
      <c r="J355" s="1016">
        <v>0.51559999999999995</v>
      </c>
      <c r="K355" s="1016">
        <v>0.51559999999999995</v>
      </c>
      <c r="L355" s="1016">
        <v>0.51559999999999995</v>
      </c>
      <c r="M355" s="1016">
        <v>0.51559999999999995</v>
      </c>
    </row>
    <row r="356" spans="1:13">
      <c r="A356" s="1031">
        <v>4.8</v>
      </c>
      <c r="B356" s="1016">
        <v>0.68340000000000001</v>
      </c>
      <c r="C356" s="1016">
        <v>0.68340000000000001</v>
      </c>
      <c r="D356" s="1016">
        <v>0.65900000000000003</v>
      </c>
      <c r="E356" s="1016">
        <v>0.65900000000000003</v>
      </c>
      <c r="F356" s="1016">
        <v>0.65900000000000003</v>
      </c>
      <c r="G356" s="1016">
        <v>0.58850000000000002</v>
      </c>
      <c r="H356" s="1016">
        <v>0.58850000000000002</v>
      </c>
      <c r="I356" s="1016">
        <v>0.51300000000000001</v>
      </c>
      <c r="J356" s="1016">
        <v>0.51300000000000001</v>
      </c>
      <c r="K356" s="1016">
        <v>0.51300000000000001</v>
      </c>
      <c r="L356" s="1016">
        <v>0.51300000000000001</v>
      </c>
      <c r="M356" s="1016">
        <v>0.51300000000000001</v>
      </c>
    </row>
    <row r="357" spans="1:13">
      <c r="A357" s="1031">
        <v>4.9000000000000004</v>
      </c>
      <c r="B357" s="1016">
        <v>0.68179999999999996</v>
      </c>
      <c r="C357" s="1016">
        <v>0.68179999999999996</v>
      </c>
      <c r="D357" s="1016">
        <v>0.65659999999999996</v>
      </c>
      <c r="E357" s="1016">
        <v>0.65659999999999996</v>
      </c>
      <c r="F357" s="1016">
        <v>0.65659999999999996</v>
      </c>
      <c r="G357" s="1016">
        <v>0.58599999999999997</v>
      </c>
      <c r="H357" s="1016">
        <v>0.58599999999999997</v>
      </c>
      <c r="I357" s="1016">
        <v>0.51060000000000005</v>
      </c>
      <c r="J357" s="1016">
        <v>0.51060000000000005</v>
      </c>
      <c r="K357" s="1016">
        <v>0.51060000000000005</v>
      </c>
      <c r="L357" s="1016">
        <v>0.51060000000000005</v>
      </c>
      <c r="M357" s="1016">
        <v>0.51060000000000005</v>
      </c>
    </row>
    <row r="358" spans="1:13">
      <c r="A358" s="1031">
        <v>5</v>
      </c>
      <c r="B358" s="1016">
        <v>0.68030000000000002</v>
      </c>
      <c r="C358" s="1016">
        <v>0.68030000000000002</v>
      </c>
      <c r="D358" s="1016">
        <v>0.65439999999999998</v>
      </c>
      <c r="E358" s="1016">
        <v>0.65439999999999998</v>
      </c>
      <c r="F358" s="1016">
        <v>0.65439999999999998</v>
      </c>
      <c r="G358" s="1016">
        <v>0.58379999999999999</v>
      </c>
      <c r="H358" s="1016">
        <v>0.58379999999999999</v>
      </c>
      <c r="I358" s="1016">
        <v>0.50839999999999996</v>
      </c>
      <c r="J358" s="1016">
        <v>0.50839999999999996</v>
      </c>
      <c r="K358" s="1016">
        <v>0.50839999999999996</v>
      </c>
      <c r="L358" s="1016">
        <v>0.50839999999999996</v>
      </c>
      <c r="M358" s="1016">
        <v>0.50839999999999996</v>
      </c>
    </row>
    <row r="359" spans="1:13">
      <c r="A359" s="1007">
        <v>5.0999999999999996</v>
      </c>
      <c r="B359" s="1016">
        <v>0.67889999999999995</v>
      </c>
      <c r="C359" s="1016">
        <v>0.67889999999999995</v>
      </c>
      <c r="D359" s="1016">
        <v>0.65229999999999999</v>
      </c>
      <c r="E359" s="1016">
        <v>0.65229999999999999</v>
      </c>
      <c r="F359" s="1016">
        <v>0.65229999999999999</v>
      </c>
      <c r="G359" s="1016">
        <v>0.58160000000000001</v>
      </c>
      <c r="H359" s="1016">
        <v>0.58160000000000001</v>
      </c>
      <c r="I359" s="1016">
        <v>0.50629999999999997</v>
      </c>
      <c r="J359" s="1016">
        <v>0.50629999999999997</v>
      </c>
      <c r="K359" s="1016">
        <v>0.50629999999999997</v>
      </c>
      <c r="L359" s="1016">
        <v>0.50629999999999997</v>
      </c>
      <c r="M359" s="1016">
        <v>0.50629999999999997</v>
      </c>
    </row>
    <row r="360" spans="1:13">
      <c r="A360" s="1007">
        <v>5.2</v>
      </c>
      <c r="B360" s="1016">
        <v>0.67749999999999999</v>
      </c>
      <c r="C360" s="1016">
        <v>0.67749999999999999</v>
      </c>
      <c r="D360" s="1016">
        <v>0.65029999999999999</v>
      </c>
      <c r="E360" s="1016">
        <v>0.65029999999999999</v>
      </c>
      <c r="F360" s="1016">
        <v>0.65029999999999999</v>
      </c>
      <c r="G360" s="1016">
        <v>0.57950000000000002</v>
      </c>
      <c r="H360" s="1016">
        <v>0.57950000000000002</v>
      </c>
      <c r="I360" s="1016">
        <v>0.50419999999999998</v>
      </c>
      <c r="J360" s="1016">
        <v>0.50419999999999998</v>
      </c>
      <c r="K360" s="1016">
        <v>0.50419999999999998</v>
      </c>
      <c r="L360" s="1016">
        <v>0.50419999999999998</v>
      </c>
      <c r="M360" s="1016">
        <v>0.50419999999999998</v>
      </c>
    </row>
    <row r="361" spans="1:13">
      <c r="A361" s="1007">
        <v>5.3</v>
      </c>
      <c r="B361" s="1016">
        <v>0.67620000000000002</v>
      </c>
      <c r="C361" s="1016">
        <v>0.67620000000000002</v>
      </c>
      <c r="D361" s="1016">
        <v>0.64839999999999998</v>
      </c>
      <c r="E361" s="1016">
        <v>0.64839999999999998</v>
      </c>
      <c r="F361" s="1016">
        <v>0.64839999999999998</v>
      </c>
      <c r="G361" s="1016">
        <v>0.5776</v>
      </c>
      <c r="H361" s="1016">
        <v>0.5776</v>
      </c>
      <c r="I361" s="1016">
        <v>0.50229999999999997</v>
      </c>
      <c r="J361" s="1016">
        <v>0.50229999999999997</v>
      </c>
      <c r="K361" s="1016">
        <v>0.50229999999999997</v>
      </c>
      <c r="L361" s="1016">
        <v>0.50229999999999997</v>
      </c>
      <c r="M361" s="1016">
        <v>0.50229999999999997</v>
      </c>
    </row>
    <row r="362" spans="1:13">
      <c r="A362" s="1007">
        <v>5.4</v>
      </c>
      <c r="B362" s="1016">
        <v>0.67500000000000004</v>
      </c>
      <c r="C362" s="1016">
        <v>0.67500000000000004</v>
      </c>
      <c r="D362" s="1016">
        <v>0.64670000000000005</v>
      </c>
      <c r="E362" s="1016">
        <v>0.64670000000000005</v>
      </c>
      <c r="F362" s="1016">
        <v>0.64670000000000005</v>
      </c>
      <c r="G362" s="1016">
        <v>0.57579999999999998</v>
      </c>
      <c r="H362" s="1016">
        <v>0.57579999999999998</v>
      </c>
      <c r="I362" s="1016">
        <v>0.50039999999999996</v>
      </c>
      <c r="J362" s="1016">
        <v>0.50039999999999996</v>
      </c>
      <c r="K362" s="1016">
        <v>0.50039999999999996</v>
      </c>
      <c r="L362" s="1016">
        <v>0.50039999999999996</v>
      </c>
      <c r="M362" s="1016">
        <v>0.50039999999999996</v>
      </c>
    </row>
    <row r="363" spans="1:13">
      <c r="A363" s="1007">
        <v>5.5</v>
      </c>
      <c r="B363" s="1016">
        <v>0.67379999999999995</v>
      </c>
      <c r="C363" s="1016">
        <v>0.67379999999999995</v>
      </c>
      <c r="D363" s="1016">
        <v>0.64500000000000002</v>
      </c>
      <c r="E363" s="1016">
        <v>0.64500000000000002</v>
      </c>
      <c r="F363" s="1016">
        <v>0.64500000000000002</v>
      </c>
      <c r="G363" s="1016">
        <v>0.57399999999999995</v>
      </c>
      <c r="H363" s="1016">
        <v>0.57399999999999995</v>
      </c>
      <c r="I363" s="1016">
        <v>0.49869999999999998</v>
      </c>
      <c r="J363" s="1016">
        <v>0.49869999999999998</v>
      </c>
      <c r="K363" s="1016">
        <v>0.49869999999999998</v>
      </c>
      <c r="L363" s="1016">
        <v>0.49869999999999998</v>
      </c>
      <c r="M363" s="1016">
        <v>0.49869999999999998</v>
      </c>
    </row>
    <row r="364" spans="1:13">
      <c r="A364" s="1007">
        <v>5.6</v>
      </c>
      <c r="B364" s="1016">
        <v>0.67259999999999998</v>
      </c>
      <c r="C364" s="1016">
        <v>0.67259999999999998</v>
      </c>
      <c r="D364" s="1016">
        <v>0.64339999999999997</v>
      </c>
      <c r="E364" s="1016">
        <v>0.64339999999999997</v>
      </c>
      <c r="F364" s="1016">
        <v>0.64339999999999997</v>
      </c>
      <c r="G364" s="1016">
        <v>0.57240000000000002</v>
      </c>
      <c r="H364" s="1016">
        <v>0.57240000000000002</v>
      </c>
      <c r="I364" s="1016">
        <v>0.49690000000000001</v>
      </c>
      <c r="J364" s="1016">
        <v>0.49690000000000001</v>
      </c>
      <c r="K364" s="1016">
        <v>0.49690000000000001</v>
      </c>
      <c r="L364" s="1016">
        <v>0.49690000000000001</v>
      </c>
      <c r="M364" s="1016">
        <v>0.49690000000000001</v>
      </c>
    </row>
    <row r="365" spans="1:13">
      <c r="A365" s="1031">
        <v>5.7</v>
      </c>
      <c r="B365" s="1016">
        <v>0.6714</v>
      </c>
      <c r="C365" s="1016">
        <v>0.6714</v>
      </c>
      <c r="D365" s="1016">
        <v>0.64190000000000003</v>
      </c>
      <c r="E365" s="1016">
        <v>0.64190000000000003</v>
      </c>
      <c r="F365" s="1016">
        <v>0.64190000000000003</v>
      </c>
      <c r="G365" s="1016">
        <v>0.57069999999999999</v>
      </c>
      <c r="H365" s="1016">
        <v>0.57069999999999999</v>
      </c>
      <c r="I365" s="1016">
        <v>0.49519999999999997</v>
      </c>
      <c r="J365" s="1016">
        <v>0.49519999999999997</v>
      </c>
      <c r="K365" s="1016">
        <v>0.49519999999999997</v>
      </c>
      <c r="L365" s="1016">
        <v>0.49519999999999997</v>
      </c>
      <c r="M365" s="1016">
        <v>0.49519999999999997</v>
      </c>
    </row>
    <row r="366" spans="1:13">
      <c r="A366" s="1007">
        <v>5.8</v>
      </c>
      <c r="B366" s="1016">
        <v>0.67020000000000002</v>
      </c>
      <c r="C366" s="1016">
        <v>0.67020000000000002</v>
      </c>
      <c r="D366" s="1016">
        <v>0.64039999999999997</v>
      </c>
      <c r="E366" s="1016">
        <v>0.64039999999999997</v>
      </c>
      <c r="F366" s="1016">
        <v>0.64039999999999997</v>
      </c>
      <c r="G366" s="1016">
        <v>0.56910000000000005</v>
      </c>
      <c r="H366" s="1016">
        <v>0.56910000000000005</v>
      </c>
      <c r="I366" s="1016">
        <v>0.49359999999999998</v>
      </c>
      <c r="J366" s="1016">
        <v>0.49359999999999998</v>
      </c>
      <c r="K366" s="1016">
        <v>0.49359999999999998</v>
      </c>
      <c r="L366" s="1016">
        <v>0.49359999999999998</v>
      </c>
      <c r="M366" s="1016">
        <v>0.49359999999999998</v>
      </c>
    </row>
    <row r="367" spans="1:13">
      <c r="A367" s="1007">
        <v>5.9</v>
      </c>
      <c r="B367" s="1016">
        <v>0.66910000000000003</v>
      </c>
      <c r="C367" s="1016">
        <v>0.66910000000000003</v>
      </c>
      <c r="D367" s="1016">
        <v>0.63890000000000002</v>
      </c>
      <c r="E367" s="1016">
        <v>0.63890000000000002</v>
      </c>
      <c r="F367" s="1016">
        <v>0.63890000000000002</v>
      </c>
      <c r="G367" s="1016">
        <v>0.5675</v>
      </c>
      <c r="H367" s="1016">
        <v>0.5675</v>
      </c>
      <c r="I367" s="1016">
        <v>0.4919</v>
      </c>
      <c r="J367" s="1016">
        <v>0.4919</v>
      </c>
      <c r="K367" s="1016">
        <v>0.4919</v>
      </c>
      <c r="L367" s="1016">
        <v>0.4919</v>
      </c>
      <c r="M367" s="1016">
        <v>0.4919</v>
      </c>
    </row>
    <row r="368" spans="1:13">
      <c r="A368" s="1007">
        <v>6</v>
      </c>
      <c r="B368" s="1016">
        <v>0.66800000000000004</v>
      </c>
      <c r="C368" s="1016">
        <v>0.66800000000000004</v>
      </c>
      <c r="D368" s="1016">
        <v>0.63739999999999997</v>
      </c>
      <c r="E368" s="1016">
        <v>0.63739999999999997</v>
      </c>
      <c r="F368" s="1016">
        <v>0.63739999999999997</v>
      </c>
      <c r="G368" s="1016">
        <v>0.56589999999999996</v>
      </c>
      <c r="H368" s="1016">
        <v>0.56589999999999996</v>
      </c>
      <c r="I368" s="1016">
        <v>0.49020000000000002</v>
      </c>
      <c r="J368" s="1016">
        <v>0.49020000000000002</v>
      </c>
      <c r="K368" s="1016">
        <v>0.49020000000000002</v>
      </c>
      <c r="L368" s="1016">
        <v>0.49020000000000002</v>
      </c>
      <c r="M368" s="1016">
        <v>0.49020000000000002</v>
      </c>
    </row>
    <row r="369" spans="1:13">
      <c r="A369" s="1007">
        <v>6.1</v>
      </c>
      <c r="B369" s="1016">
        <v>0.66690000000000005</v>
      </c>
      <c r="C369" s="1016">
        <v>0.66690000000000005</v>
      </c>
      <c r="D369" s="1016">
        <v>0.63590000000000002</v>
      </c>
      <c r="E369" s="1016">
        <v>0.63590000000000002</v>
      </c>
      <c r="F369" s="1016">
        <v>0.63590000000000002</v>
      </c>
      <c r="G369" s="1016">
        <v>0.56440000000000001</v>
      </c>
      <c r="H369" s="1016">
        <v>0.56440000000000001</v>
      </c>
      <c r="I369" s="1016">
        <v>0.48849999999999999</v>
      </c>
      <c r="J369" s="1016">
        <v>0.48849999999999999</v>
      </c>
      <c r="K369" s="1016">
        <v>0.48849999999999999</v>
      </c>
      <c r="L369" s="1016">
        <v>0.48849999999999999</v>
      </c>
      <c r="M369" s="1016">
        <v>0.48849999999999999</v>
      </c>
    </row>
    <row r="370" spans="1:13">
      <c r="A370" s="1007">
        <v>6.2</v>
      </c>
      <c r="B370" s="1016">
        <v>0.66579999999999995</v>
      </c>
      <c r="C370" s="1016">
        <v>0.66579999999999995</v>
      </c>
      <c r="D370" s="1016">
        <v>0.63439999999999996</v>
      </c>
      <c r="E370" s="1016">
        <v>0.63439999999999996</v>
      </c>
      <c r="F370" s="1016">
        <v>0.63439999999999996</v>
      </c>
      <c r="G370" s="1016">
        <v>0.56289999999999996</v>
      </c>
      <c r="H370" s="1016">
        <v>0.56289999999999996</v>
      </c>
      <c r="I370" s="1016">
        <v>0.48680000000000001</v>
      </c>
      <c r="J370" s="1016">
        <v>0.48680000000000001</v>
      </c>
      <c r="K370" s="1016">
        <v>0.48680000000000001</v>
      </c>
      <c r="L370" s="1016">
        <v>0.48680000000000001</v>
      </c>
      <c r="M370" s="1016">
        <v>0.48680000000000001</v>
      </c>
    </row>
    <row r="371" spans="1:13">
      <c r="A371" s="1007">
        <v>6.3</v>
      </c>
      <c r="B371" s="1016">
        <v>0.66469999999999996</v>
      </c>
      <c r="C371" s="1016">
        <v>0.66469999999999996</v>
      </c>
      <c r="D371" s="1016">
        <v>0.63290000000000002</v>
      </c>
      <c r="E371" s="1016">
        <v>0.63290000000000002</v>
      </c>
      <c r="F371" s="1016">
        <v>0.63290000000000002</v>
      </c>
      <c r="G371" s="1016">
        <v>0.56130000000000002</v>
      </c>
      <c r="H371" s="1016">
        <v>0.56130000000000002</v>
      </c>
      <c r="I371" s="1016">
        <v>0.48509999999999998</v>
      </c>
      <c r="J371" s="1016">
        <v>0.48509999999999998</v>
      </c>
      <c r="K371" s="1016">
        <v>0.48509999999999998</v>
      </c>
      <c r="L371" s="1016">
        <v>0.48509999999999998</v>
      </c>
      <c r="M371" s="1016">
        <v>0.48509999999999998</v>
      </c>
    </row>
    <row r="372" spans="1:13">
      <c r="A372" s="1007">
        <v>6.4</v>
      </c>
      <c r="B372" s="1016">
        <v>0.66359999999999997</v>
      </c>
      <c r="C372" s="1016">
        <v>0.66359999999999997</v>
      </c>
      <c r="D372" s="1016">
        <v>0.63139999999999996</v>
      </c>
      <c r="E372" s="1016">
        <v>0.63139999999999996</v>
      </c>
      <c r="F372" s="1016">
        <v>0.63139999999999996</v>
      </c>
      <c r="G372" s="1016">
        <v>0.55979999999999996</v>
      </c>
      <c r="H372" s="1016">
        <v>0.55979999999999996</v>
      </c>
      <c r="I372" s="1016">
        <v>0.48349999999999999</v>
      </c>
      <c r="J372" s="1016">
        <v>0.48349999999999999</v>
      </c>
      <c r="K372" s="1016">
        <v>0.48349999999999999</v>
      </c>
      <c r="L372" s="1016">
        <v>0.48349999999999999</v>
      </c>
      <c r="M372" s="1016">
        <v>0.48349999999999999</v>
      </c>
    </row>
    <row r="373" spans="1:13">
      <c r="A373" s="1007">
        <v>6.5</v>
      </c>
      <c r="B373" s="1016">
        <v>0.66249999999999998</v>
      </c>
      <c r="C373" s="1016">
        <v>0.66249999999999998</v>
      </c>
      <c r="D373" s="1016">
        <v>0.63</v>
      </c>
      <c r="E373" s="1016">
        <v>0.63</v>
      </c>
      <c r="F373" s="1016">
        <v>0.63</v>
      </c>
      <c r="G373" s="1016">
        <v>0.55820000000000003</v>
      </c>
      <c r="H373" s="1016">
        <v>0.55820000000000003</v>
      </c>
      <c r="I373" s="1016">
        <v>0.4819</v>
      </c>
      <c r="J373" s="1016">
        <v>0.4819</v>
      </c>
      <c r="K373" s="1016">
        <v>0.4819</v>
      </c>
      <c r="L373" s="1016">
        <v>0.4819</v>
      </c>
      <c r="M373" s="1016">
        <v>0.4819</v>
      </c>
    </row>
    <row r="374" spans="1:13">
      <c r="A374" s="1007">
        <v>6.6</v>
      </c>
      <c r="B374" s="1016">
        <v>0.66149999999999998</v>
      </c>
      <c r="C374" s="1016">
        <v>0.66149999999999998</v>
      </c>
      <c r="D374" s="1016">
        <v>0.62860000000000005</v>
      </c>
      <c r="E374" s="1016">
        <v>0.62860000000000005</v>
      </c>
      <c r="F374" s="1016">
        <v>0.62860000000000005</v>
      </c>
      <c r="G374" s="1016">
        <v>0.55669999999999997</v>
      </c>
      <c r="H374" s="1016">
        <v>0.55669999999999997</v>
      </c>
      <c r="I374" s="1016">
        <v>0.4803</v>
      </c>
      <c r="J374" s="1016">
        <v>0.4803</v>
      </c>
      <c r="K374" s="1016">
        <v>0.4803</v>
      </c>
      <c r="L374" s="1016">
        <v>0.4803</v>
      </c>
      <c r="M374" s="1016">
        <v>0.4803</v>
      </c>
    </row>
    <row r="375" spans="1:13">
      <c r="A375" s="1007">
        <v>6.7</v>
      </c>
      <c r="B375" s="1016">
        <v>0.66049999999999998</v>
      </c>
      <c r="C375" s="1016">
        <v>0.66049999999999998</v>
      </c>
      <c r="D375" s="1016">
        <v>0.62719999999999998</v>
      </c>
      <c r="E375" s="1016">
        <v>0.62719999999999998</v>
      </c>
      <c r="F375" s="1016">
        <v>0.62719999999999998</v>
      </c>
      <c r="G375" s="1016">
        <v>0.55520000000000003</v>
      </c>
      <c r="H375" s="1016">
        <v>0.55520000000000003</v>
      </c>
      <c r="I375" s="1016">
        <v>0.47870000000000001</v>
      </c>
      <c r="J375" s="1016">
        <v>0.47870000000000001</v>
      </c>
      <c r="K375" s="1016">
        <v>0.47870000000000001</v>
      </c>
      <c r="L375" s="1016">
        <v>0.47870000000000001</v>
      </c>
      <c r="M375" s="1016">
        <v>0.47870000000000001</v>
      </c>
    </row>
    <row r="376" spans="1:13">
      <c r="A376" s="1007">
        <v>6.8</v>
      </c>
      <c r="B376" s="1016">
        <v>0.65949999999999998</v>
      </c>
      <c r="C376" s="1016">
        <v>0.65949999999999998</v>
      </c>
      <c r="D376" s="1016">
        <v>0.62580000000000002</v>
      </c>
      <c r="E376" s="1016">
        <v>0.62580000000000002</v>
      </c>
      <c r="F376" s="1016">
        <v>0.62580000000000002</v>
      </c>
      <c r="G376" s="1016">
        <v>0.55359999999999998</v>
      </c>
      <c r="H376" s="1016">
        <v>0.55359999999999998</v>
      </c>
      <c r="I376" s="1016">
        <v>0.47710000000000002</v>
      </c>
      <c r="J376" s="1016">
        <v>0.47710000000000002</v>
      </c>
      <c r="K376" s="1016">
        <v>0.47710000000000002</v>
      </c>
      <c r="L376" s="1016">
        <v>0.47710000000000002</v>
      </c>
      <c r="M376" s="1016">
        <v>0.47710000000000002</v>
      </c>
    </row>
    <row r="377" spans="1:13">
      <c r="A377" s="1007">
        <v>6.9</v>
      </c>
      <c r="B377" s="1016">
        <v>0.65849999999999997</v>
      </c>
      <c r="C377" s="1016">
        <v>0.65849999999999997</v>
      </c>
      <c r="D377" s="1016">
        <v>0.62439999999999996</v>
      </c>
      <c r="E377" s="1016">
        <v>0.62439999999999996</v>
      </c>
      <c r="F377" s="1016">
        <v>0.62439999999999996</v>
      </c>
      <c r="G377" s="1016">
        <v>0.55220000000000002</v>
      </c>
      <c r="H377" s="1016">
        <v>0.55220000000000002</v>
      </c>
      <c r="I377" s="1016">
        <v>0.47549999999999998</v>
      </c>
      <c r="J377" s="1016">
        <v>0.47549999999999998</v>
      </c>
      <c r="K377" s="1016">
        <v>0.47549999999999998</v>
      </c>
      <c r="L377" s="1016">
        <v>0.47549999999999998</v>
      </c>
      <c r="M377" s="1016">
        <v>0.47549999999999998</v>
      </c>
    </row>
    <row r="378" spans="1:13">
      <c r="A378" s="1007">
        <v>7</v>
      </c>
      <c r="B378" s="1016">
        <v>0.65749999999999997</v>
      </c>
      <c r="C378" s="1016">
        <v>0.65749999999999997</v>
      </c>
      <c r="D378" s="1016">
        <v>0.623</v>
      </c>
      <c r="E378" s="1016">
        <v>0.623</v>
      </c>
      <c r="F378" s="1016">
        <v>0.623</v>
      </c>
      <c r="G378" s="1016">
        <v>0.55069999999999997</v>
      </c>
      <c r="H378" s="1016">
        <v>0.55069999999999997</v>
      </c>
      <c r="I378" s="1016">
        <v>0.47389999999999999</v>
      </c>
      <c r="J378" s="1016">
        <v>0.47389999999999999</v>
      </c>
      <c r="K378" s="1016">
        <v>0.47389999999999999</v>
      </c>
      <c r="L378" s="1016">
        <v>0.47389999999999999</v>
      </c>
      <c r="M378" s="1016">
        <v>0.47389999999999999</v>
      </c>
    </row>
    <row r="379" spans="1:13">
      <c r="A379" s="1007">
        <v>7.1</v>
      </c>
      <c r="B379" s="1016">
        <v>0.65649999999999997</v>
      </c>
      <c r="C379" s="1016">
        <v>0.65649999999999997</v>
      </c>
      <c r="D379" s="1016">
        <v>0.62160000000000004</v>
      </c>
      <c r="E379" s="1016">
        <v>0.62160000000000004</v>
      </c>
      <c r="F379" s="1016">
        <v>0.62160000000000004</v>
      </c>
      <c r="G379" s="1016">
        <v>0.54930000000000001</v>
      </c>
      <c r="H379" s="1016">
        <v>0.54930000000000001</v>
      </c>
      <c r="I379" s="1016">
        <v>0.47239999999999999</v>
      </c>
      <c r="J379" s="1016">
        <v>0.47239999999999999</v>
      </c>
      <c r="K379" s="1016">
        <v>0.47239999999999999</v>
      </c>
      <c r="L379" s="1016">
        <v>0.47239999999999999</v>
      </c>
      <c r="M379" s="1016">
        <v>0.47239999999999999</v>
      </c>
    </row>
    <row r="380" spans="1:13">
      <c r="A380" s="1007">
        <v>7.2</v>
      </c>
      <c r="B380" s="1016">
        <v>0.65549999999999997</v>
      </c>
      <c r="C380" s="1016">
        <v>0.65549999999999997</v>
      </c>
      <c r="D380" s="1016">
        <v>0.62019999999999997</v>
      </c>
      <c r="E380" s="1016">
        <v>0.62019999999999997</v>
      </c>
      <c r="F380" s="1016">
        <v>0.62019999999999997</v>
      </c>
      <c r="G380" s="1016">
        <v>0.54779999999999995</v>
      </c>
      <c r="H380" s="1016">
        <v>0.54779999999999995</v>
      </c>
      <c r="I380" s="1016">
        <v>0.47089999999999999</v>
      </c>
      <c r="J380" s="1016">
        <v>0.47089999999999999</v>
      </c>
      <c r="K380" s="1016">
        <v>0.47089999999999999</v>
      </c>
      <c r="L380" s="1016">
        <v>0.47089999999999999</v>
      </c>
      <c r="M380" s="1016">
        <v>0.47089999999999999</v>
      </c>
    </row>
    <row r="381" spans="1:13">
      <c r="A381" s="1007">
        <v>7.3</v>
      </c>
      <c r="B381" s="1016">
        <v>0.65449999999999997</v>
      </c>
      <c r="C381" s="1016">
        <v>0.65449999999999997</v>
      </c>
      <c r="D381" s="1016">
        <v>0.61880000000000002</v>
      </c>
      <c r="E381" s="1016">
        <v>0.61880000000000002</v>
      </c>
      <c r="F381" s="1016">
        <v>0.61880000000000002</v>
      </c>
      <c r="G381" s="1016">
        <v>0.5464</v>
      </c>
      <c r="H381" s="1016">
        <v>0.5464</v>
      </c>
      <c r="I381" s="1016">
        <v>0.46939999999999998</v>
      </c>
      <c r="J381" s="1016">
        <v>0.46939999999999998</v>
      </c>
      <c r="K381" s="1016">
        <v>0.46939999999999998</v>
      </c>
      <c r="L381" s="1016">
        <v>0.46939999999999998</v>
      </c>
      <c r="M381" s="1016">
        <v>0.46939999999999998</v>
      </c>
    </row>
    <row r="382" spans="1:13">
      <c r="A382" s="1007">
        <v>7.4</v>
      </c>
      <c r="B382" s="1016">
        <v>0.65349999999999997</v>
      </c>
      <c r="C382" s="1016">
        <v>0.65349999999999997</v>
      </c>
      <c r="D382" s="1016">
        <v>0.61750000000000005</v>
      </c>
      <c r="E382" s="1016">
        <v>0.61750000000000005</v>
      </c>
      <c r="F382" s="1016">
        <v>0.61750000000000005</v>
      </c>
      <c r="G382" s="1016">
        <v>0.54490000000000005</v>
      </c>
      <c r="H382" s="1016">
        <v>0.54490000000000005</v>
      </c>
      <c r="I382" s="1016">
        <v>0.46779999999999999</v>
      </c>
      <c r="J382" s="1016">
        <v>0.46779999999999999</v>
      </c>
      <c r="K382" s="1016">
        <v>0.46779999999999999</v>
      </c>
      <c r="L382" s="1016">
        <v>0.46779999999999999</v>
      </c>
      <c r="M382" s="1016">
        <v>0.46779999999999999</v>
      </c>
    </row>
    <row r="383" spans="1:13">
      <c r="A383" s="1007">
        <v>7.5</v>
      </c>
      <c r="B383" s="1016">
        <v>0.65249999999999997</v>
      </c>
      <c r="C383" s="1016">
        <v>0.65249999999999997</v>
      </c>
      <c r="D383" s="1016">
        <v>0.61619999999999997</v>
      </c>
      <c r="E383" s="1016">
        <v>0.61619999999999997</v>
      </c>
      <c r="F383" s="1016">
        <v>0.61619999999999997</v>
      </c>
      <c r="G383" s="1016">
        <v>0.54349999999999998</v>
      </c>
      <c r="H383" s="1016">
        <v>0.54349999999999998</v>
      </c>
      <c r="I383" s="1016">
        <v>0.46629999999999999</v>
      </c>
      <c r="J383" s="1016">
        <v>0.46629999999999999</v>
      </c>
      <c r="K383" s="1016">
        <v>0.46629999999999999</v>
      </c>
      <c r="L383" s="1016">
        <v>0.46629999999999999</v>
      </c>
      <c r="M383" s="1016">
        <v>0.46629999999999999</v>
      </c>
    </row>
    <row r="384" spans="1:13">
      <c r="A384" s="1007">
        <v>7.6</v>
      </c>
      <c r="B384" s="1016">
        <v>0.65149999999999997</v>
      </c>
      <c r="C384" s="1016">
        <v>0.65149999999999997</v>
      </c>
      <c r="D384" s="1016">
        <v>0.6149</v>
      </c>
      <c r="E384" s="1016">
        <v>0.6149</v>
      </c>
      <c r="F384" s="1016">
        <v>0.6149</v>
      </c>
      <c r="G384" s="1016">
        <v>0.54200000000000004</v>
      </c>
      <c r="H384" s="1016">
        <v>0.54200000000000004</v>
      </c>
      <c r="I384" s="1016">
        <v>0.46479999999999999</v>
      </c>
      <c r="J384" s="1016">
        <v>0.46479999999999999</v>
      </c>
      <c r="K384" s="1016">
        <v>0.46479999999999999</v>
      </c>
      <c r="L384" s="1016">
        <v>0.46479999999999999</v>
      </c>
      <c r="M384" s="1016">
        <v>0.46479999999999999</v>
      </c>
    </row>
    <row r="385" spans="1:13">
      <c r="A385" s="1007">
        <v>7.7</v>
      </c>
      <c r="B385" s="1016">
        <v>0.65049999999999997</v>
      </c>
      <c r="C385" s="1016">
        <v>0.65049999999999997</v>
      </c>
      <c r="D385" s="1016">
        <v>0.61360000000000003</v>
      </c>
      <c r="E385" s="1016">
        <v>0.61360000000000003</v>
      </c>
      <c r="F385" s="1016">
        <v>0.61360000000000003</v>
      </c>
      <c r="G385" s="1016">
        <v>0.54059999999999997</v>
      </c>
      <c r="H385" s="1016">
        <v>0.54059999999999997</v>
      </c>
      <c r="I385" s="1016">
        <v>0.46329999999999999</v>
      </c>
      <c r="J385" s="1016">
        <v>0.46329999999999999</v>
      </c>
      <c r="K385" s="1016">
        <v>0.46329999999999999</v>
      </c>
      <c r="L385" s="1016">
        <v>0.46329999999999999</v>
      </c>
      <c r="M385" s="1016">
        <v>0.46329999999999999</v>
      </c>
    </row>
    <row r="386" spans="1:13">
      <c r="A386" s="1007">
        <v>7.8</v>
      </c>
      <c r="B386" s="1016">
        <v>0.64949999999999997</v>
      </c>
      <c r="C386" s="1016">
        <v>0.64949999999999997</v>
      </c>
      <c r="D386" s="1016">
        <v>0.61229999999999996</v>
      </c>
      <c r="E386" s="1016">
        <v>0.61229999999999996</v>
      </c>
      <c r="F386" s="1016">
        <v>0.61229999999999996</v>
      </c>
      <c r="G386" s="1016">
        <v>0.53910000000000002</v>
      </c>
      <c r="H386" s="1016">
        <v>0.53910000000000002</v>
      </c>
      <c r="I386" s="1016">
        <v>0.4617</v>
      </c>
      <c r="J386" s="1016">
        <v>0.4617</v>
      </c>
      <c r="K386" s="1016">
        <v>0.4617</v>
      </c>
      <c r="L386" s="1016">
        <v>0.4617</v>
      </c>
      <c r="M386" s="1016">
        <v>0.4617</v>
      </c>
    </row>
    <row r="387" spans="1:13">
      <c r="A387" s="1007">
        <v>7.9</v>
      </c>
      <c r="B387" s="1016">
        <v>0.64849999999999997</v>
      </c>
      <c r="C387" s="1016">
        <v>0.64849999999999997</v>
      </c>
      <c r="D387" s="1016">
        <v>0.61099999999999999</v>
      </c>
      <c r="E387" s="1016">
        <v>0.61099999999999999</v>
      </c>
      <c r="F387" s="1016">
        <v>0.61099999999999999</v>
      </c>
      <c r="G387" s="1016">
        <v>0.53769999999999996</v>
      </c>
      <c r="H387" s="1016">
        <v>0.53769999999999996</v>
      </c>
      <c r="I387" s="1016">
        <v>0.4602</v>
      </c>
      <c r="J387" s="1016">
        <v>0.4602</v>
      </c>
      <c r="K387" s="1016">
        <v>0.4602</v>
      </c>
      <c r="L387" s="1016">
        <v>0.4602</v>
      </c>
      <c r="M387" s="1016">
        <v>0.4602</v>
      </c>
    </row>
    <row r="388" spans="1:13">
      <c r="A388" s="1007">
        <v>8</v>
      </c>
      <c r="B388" s="1016">
        <v>0.64749999999999996</v>
      </c>
      <c r="C388" s="1016">
        <v>0.64749999999999996</v>
      </c>
      <c r="D388" s="1016">
        <v>0.60970000000000002</v>
      </c>
      <c r="E388" s="1016">
        <v>0.60970000000000002</v>
      </c>
      <c r="F388" s="1016">
        <v>0.60970000000000002</v>
      </c>
      <c r="G388" s="1016">
        <v>0.53620000000000001</v>
      </c>
      <c r="H388" s="1016">
        <v>0.53620000000000001</v>
      </c>
      <c r="I388" s="1016">
        <v>0.4587</v>
      </c>
      <c r="J388" s="1016">
        <v>0.4587</v>
      </c>
      <c r="K388" s="1016">
        <v>0.4587</v>
      </c>
      <c r="L388" s="1016">
        <v>0.4587</v>
      </c>
      <c r="M388" s="1016">
        <v>0.4587</v>
      </c>
    </row>
    <row r="389" spans="1:13">
      <c r="A389" s="1007">
        <v>8.1</v>
      </c>
      <c r="B389" s="1016">
        <v>0.64649999999999996</v>
      </c>
      <c r="C389" s="1016">
        <v>0.64649999999999996</v>
      </c>
      <c r="D389" s="1016">
        <v>0.60840000000000005</v>
      </c>
      <c r="E389" s="1016">
        <v>0.60840000000000005</v>
      </c>
      <c r="F389" s="1016">
        <v>0.60840000000000005</v>
      </c>
      <c r="G389" s="1016">
        <v>0.53480000000000005</v>
      </c>
      <c r="H389" s="1016">
        <v>0.53480000000000005</v>
      </c>
      <c r="I389" s="1016">
        <v>0.4572</v>
      </c>
      <c r="J389" s="1016">
        <v>0.4572</v>
      </c>
      <c r="K389" s="1016">
        <v>0.4572</v>
      </c>
      <c r="L389" s="1016">
        <v>0.4572</v>
      </c>
      <c r="M389" s="1016">
        <v>0.4572</v>
      </c>
    </row>
    <row r="390" spans="1:13">
      <c r="A390" s="1007">
        <v>8.1999999999999993</v>
      </c>
      <c r="B390" s="1016">
        <v>0.64549999999999996</v>
      </c>
      <c r="C390" s="1016">
        <v>0.64549999999999996</v>
      </c>
      <c r="D390" s="1016">
        <v>0.60709999999999997</v>
      </c>
      <c r="E390" s="1016">
        <v>0.60709999999999997</v>
      </c>
      <c r="F390" s="1016">
        <v>0.60709999999999997</v>
      </c>
      <c r="G390" s="1016">
        <v>0.5333</v>
      </c>
      <c r="H390" s="1016">
        <v>0.5333</v>
      </c>
      <c r="I390" s="1016">
        <v>0.45569999999999999</v>
      </c>
      <c r="J390" s="1016">
        <v>0.45569999999999999</v>
      </c>
      <c r="K390" s="1016">
        <v>0.45569999999999999</v>
      </c>
      <c r="L390" s="1016">
        <v>0.45569999999999999</v>
      </c>
      <c r="M390" s="1016">
        <v>0.45569999999999999</v>
      </c>
    </row>
    <row r="391" spans="1:13">
      <c r="A391" s="1007">
        <v>8.3000000000000007</v>
      </c>
      <c r="B391" s="1016">
        <v>0.64449999999999996</v>
      </c>
      <c r="C391" s="1016">
        <v>0.64449999999999996</v>
      </c>
      <c r="D391" s="1016">
        <v>0.60580000000000001</v>
      </c>
      <c r="E391" s="1016">
        <v>0.60580000000000001</v>
      </c>
      <c r="F391" s="1016">
        <v>0.60580000000000001</v>
      </c>
      <c r="G391" s="1016">
        <v>0.53190000000000004</v>
      </c>
      <c r="H391" s="1016">
        <v>0.53190000000000004</v>
      </c>
      <c r="I391" s="1016">
        <v>0.45429999999999998</v>
      </c>
      <c r="J391" s="1016">
        <v>0.45429999999999998</v>
      </c>
      <c r="K391" s="1016">
        <v>0.45429999999999998</v>
      </c>
      <c r="L391" s="1016">
        <v>0.45429999999999998</v>
      </c>
      <c r="M391" s="1016">
        <v>0.45429999999999998</v>
      </c>
    </row>
    <row r="392" spans="1:13">
      <c r="A392" s="1007">
        <v>8.4</v>
      </c>
      <c r="B392" s="1016">
        <v>0.64349999999999996</v>
      </c>
      <c r="C392" s="1016">
        <v>0.64349999999999996</v>
      </c>
      <c r="D392" s="1016">
        <v>0.60450000000000004</v>
      </c>
      <c r="E392" s="1016">
        <v>0.60450000000000004</v>
      </c>
      <c r="F392" s="1016">
        <v>0.60450000000000004</v>
      </c>
      <c r="G392" s="1016">
        <v>0.53039999999999998</v>
      </c>
      <c r="H392" s="1016">
        <v>0.53039999999999998</v>
      </c>
      <c r="I392" s="1016">
        <v>0.45290000000000002</v>
      </c>
      <c r="J392" s="1016">
        <v>0.45290000000000002</v>
      </c>
      <c r="K392" s="1016">
        <v>0.45290000000000002</v>
      </c>
      <c r="L392" s="1016">
        <v>0.45290000000000002</v>
      </c>
      <c r="M392" s="1016">
        <v>0.45290000000000002</v>
      </c>
    </row>
    <row r="393" spans="1:13">
      <c r="A393" s="1007">
        <v>8.5</v>
      </c>
      <c r="B393" s="1016">
        <v>0.64249999999999996</v>
      </c>
      <c r="C393" s="1016">
        <v>0.64249999999999996</v>
      </c>
      <c r="D393" s="1016">
        <v>0.60319999999999996</v>
      </c>
      <c r="E393" s="1016">
        <v>0.60319999999999996</v>
      </c>
      <c r="F393" s="1016">
        <v>0.60319999999999996</v>
      </c>
      <c r="G393" s="1016">
        <v>0.52900000000000003</v>
      </c>
      <c r="H393" s="1016">
        <v>0.52900000000000003</v>
      </c>
      <c r="I393" s="1016">
        <v>0.45140000000000002</v>
      </c>
      <c r="J393" s="1016">
        <v>0.45140000000000002</v>
      </c>
      <c r="K393" s="1016">
        <v>0.45140000000000002</v>
      </c>
      <c r="L393" s="1016">
        <v>0.45140000000000002</v>
      </c>
      <c r="M393" s="1016">
        <v>0.45140000000000002</v>
      </c>
    </row>
    <row r="394" spans="1:13">
      <c r="A394" s="1007">
        <v>8.6</v>
      </c>
      <c r="B394" s="1016">
        <v>0.64149999999999996</v>
      </c>
      <c r="C394" s="1016">
        <v>0.64149999999999996</v>
      </c>
      <c r="D394" s="1016">
        <v>0.60189999999999999</v>
      </c>
      <c r="E394" s="1016">
        <v>0.60189999999999999</v>
      </c>
      <c r="F394" s="1016">
        <v>0.60189999999999999</v>
      </c>
      <c r="G394" s="1016">
        <v>0.52749999999999997</v>
      </c>
      <c r="H394" s="1016">
        <v>0.52749999999999997</v>
      </c>
      <c r="I394" s="1016">
        <v>0.45</v>
      </c>
      <c r="J394" s="1016">
        <v>0.45</v>
      </c>
      <c r="K394" s="1016">
        <v>0.45</v>
      </c>
      <c r="L394" s="1016">
        <v>0.45</v>
      </c>
      <c r="M394" s="1016">
        <v>0.45</v>
      </c>
    </row>
    <row r="395" spans="1:13">
      <c r="A395" s="1007">
        <v>8.6999999999999993</v>
      </c>
      <c r="B395" s="1016">
        <v>0.64049999999999996</v>
      </c>
      <c r="C395" s="1016">
        <v>0.64049999999999996</v>
      </c>
      <c r="D395" s="1016">
        <v>0.60060000000000002</v>
      </c>
      <c r="E395" s="1016">
        <v>0.60060000000000002</v>
      </c>
      <c r="F395" s="1016">
        <v>0.60060000000000002</v>
      </c>
      <c r="G395" s="1016">
        <v>0.52610000000000001</v>
      </c>
      <c r="H395" s="1016">
        <v>0.52610000000000001</v>
      </c>
      <c r="I395" s="1016">
        <v>0.44850000000000001</v>
      </c>
      <c r="J395" s="1016">
        <v>0.44850000000000001</v>
      </c>
      <c r="K395" s="1016">
        <v>0.44850000000000001</v>
      </c>
      <c r="L395" s="1016">
        <v>0.44850000000000001</v>
      </c>
      <c r="M395" s="1016">
        <v>0.44850000000000001</v>
      </c>
    </row>
    <row r="396" spans="1:13">
      <c r="A396" s="1007">
        <v>8.8000000000000007</v>
      </c>
      <c r="B396" s="1016">
        <v>0.63949999999999996</v>
      </c>
      <c r="C396" s="1016">
        <v>0.63949999999999996</v>
      </c>
      <c r="D396" s="1016">
        <v>0.59930000000000005</v>
      </c>
      <c r="E396" s="1016">
        <v>0.59930000000000005</v>
      </c>
      <c r="F396" s="1016">
        <v>0.59930000000000005</v>
      </c>
      <c r="G396" s="1016">
        <v>0.52459999999999996</v>
      </c>
      <c r="H396" s="1016">
        <v>0.52459999999999996</v>
      </c>
      <c r="I396" s="1016">
        <v>0.4471</v>
      </c>
      <c r="J396" s="1016">
        <v>0.4471</v>
      </c>
      <c r="K396" s="1016">
        <v>0.4471</v>
      </c>
      <c r="L396" s="1016">
        <v>0.4471</v>
      </c>
      <c r="M396" s="1016">
        <v>0.4471</v>
      </c>
    </row>
    <row r="397" spans="1:13">
      <c r="A397" s="1007">
        <v>8.9</v>
      </c>
      <c r="B397" s="1016">
        <v>0.63849999999999996</v>
      </c>
      <c r="C397" s="1016">
        <v>0.63849999999999996</v>
      </c>
      <c r="D397" s="1016">
        <v>0.59799999999999998</v>
      </c>
      <c r="E397" s="1016">
        <v>0.59799999999999998</v>
      </c>
      <c r="F397" s="1016">
        <v>0.59799999999999998</v>
      </c>
      <c r="G397" s="1016">
        <v>0.5232</v>
      </c>
      <c r="H397" s="1016">
        <v>0.5232</v>
      </c>
      <c r="I397" s="1016">
        <v>0.4456</v>
      </c>
      <c r="J397" s="1016">
        <v>0.4456</v>
      </c>
      <c r="K397" s="1016">
        <v>0.4456</v>
      </c>
      <c r="L397" s="1016">
        <v>0.4456</v>
      </c>
      <c r="M397" s="1016">
        <v>0.4456</v>
      </c>
    </row>
    <row r="398" spans="1:13">
      <c r="A398" s="1031">
        <v>9</v>
      </c>
      <c r="B398" s="1016">
        <v>0.63749999999999996</v>
      </c>
      <c r="C398" s="1016">
        <v>0.63749999999999996</v>
      </c>
      <c r="D398" s="1016">
        <v>0.59670000000000001</v>
      </c>
      <c r="E398" s="1016">
        <v>0.59670000000000001</v>
      </c>
      <c r="F398" s="1016">
        <v>0.59670000000000001</v>
      </c>
      <c r="G398" s="1016">
        <v>0.52170000000000005</v>
      </c>
      <c r="H398" s="1016">
        <v>0.52170000000000005</v>
      </c>
      <c r="I398" s="1016">
        <v>0.44429999999999997</v>
      </c>
      <c r="J398" s="1016">
        <v>0.44429999999999997</v>
      </c>
      <c r="K398" s="1016">
        <v>0.44429999999999997</v>
      </c>
      <c r="L398" s="1016">
        <v>0.44429999999999997</v>
      </c>
      <c r="M398" s="1016">
        <v>0.44429999999999997</v>
      </c>
    </row>
    <row r="399" spans="1:13">
      <c r="A399" s="1031">
        <v>9.1</v>
      </c>
      <c r="B399" s="1016">
        <v>0.63649999999999995</v>
      </c>
      <c r="C399" s="1016">
        <v>0.63649999999999995</v>
      </c>
      <c r="D399" s="1016">
        <v>0.59540000000000004</v>
      </c>
      <c r="E399" s="1016">
        <v>0.59540000000000004</v>
      </c>
      <c r="F399" s="1016">
        <v>0.59540000000000004</v>
      </c>
      <c r="G399" s="1016">
        <v>0.52029999999999998</v>
      </c>
      <c r="H399" s="1016">
        <v>0.52029999999999998</v>
      </c>
      <c r="I399" s="1016">
        <v>0.44290000000000002</v>
      </c>
      <c r="J399" s="1016">
        <v>0.44290000000000002</v>
      </c>
      <c r="K399" s="1016">
        <v>0.44290000000000002</v>
      </c>
      <c r="L399" s="1016">
        <v>0.44290000000000002</v>
      </c>
      <c r="M399" s="1016">
        <v>0.44290000000000002</v>
      </c>
    </row>
    <row r="400" spans="1:13">
      <c r="A400" s="1031">
        <v>9.1999999999999993</v>
      </c>
      <c r="B400" s="1016">
        <v>0.63549999999999995</v>
      </c>
      <c r="C400" s="1016">
        <v>0.63549999999999995</v>
      </c>
      <c r="D400" s="1016">
        <v>0.59409999999999996</v>
      </c>
      <c r="E400" s="1016">
        <v>0.59409999999999996</v>
      </c>
      <c r="F400" s="1016">
        <v>0.59409999999999996</v>
      </c>
      <c r="G400" s="1016">
        <v>0.51880000000000004</v>
      </c>
      <c r="H400" s="1016">
        <v>0.51880000000000004</v>
      </c>
      <c r="I400" s="1016">
        <v>0.44159999999999999</v>
      </c>
      <c r="J400" s="1016">
        <v>0.44159999999999999</v>
      </c>
      <c r="K400" s="1016">
        <v>0.44159999999999999</v>
      </c>
      <c r="L400" s="1016">
        <v>0.44159999999999999</v>
      </c>
      <c r="M400" s="1016">
        <v>0.44159999999999999</v>
      </c>
    </row>
    <row r="401" spans="1:13">
      <c r="A401" s="1031">
        <v>9.3000000000000007</v>
      </c>
      <c r="B401" s="1016">
        <v>0.63449999999999995</v>
      </c>
      <c r="C401" s="1016">
        <v>0.63449999999999995</v>
      </c>
      <c r="D401" s="1016">
        <v>0.59279999999999999</v>
      </c>
      <c r="E401" s="1016">
        <v>0.59279999999999999</v>
      </c>
      <c r="F401" s="1016">
        <v>0.59279999999999999</v>
      </c>
      <c r="G401" s="1016">
        <v>0.51739999999999997</v>
      </c>
      <c r="H401" s="1016">
        <v>0.51739999999999997</v>
      </c>
      <c r="I401" s="1016">
        <v>0.44019999999999998</v>
      </c>
      <c r="J401" s="1016">
        <v>0.44019999999999998</v>
      </c>
      <c r="K401" s="1016">
        <v>0.44019999999999998</v>
      </c>
      <c r="L401" s="1016">
        <v>0.44019999999999998</v>
      </c>
      <c r="M401" s="1016">
        <v>0.44019999999999998</v>
      </c>
    </row>
    <row r="402" spans="1:13">
      <c r="A402" s="1031">
        <v>9.4</v>
      </c>
      <c r="B402" s="1016">
        <v>0.63349999999999995</v>
      </c>
      <c r="C402" s="1016">
        <v>0.63349999999999995</v>
      </c>
      <c r="D402" s="1016">
        <v>0.59150000000000003</v>
      </c>
      <c r="E402" s="1016">
        <v>0.59150000000000003</v>
      </c>
      <c r="F402" s="1016">
        <v>0.59150000000000003</v>
      </c>
      <c r="G402" s="1016">
        <v>0.51600000000000001</v>
      </c>
      <c r="H402" s="1016">
        <v>0.51600000000000001</v>
      </c>
      <c r="I402" s="1016">
        <v>0.43880000000000002</v>
      </c>
      <c r="J402" s="1016">
        <v>0.43880000000000002</v>
      </c>
      <c r="K402" s="1016">
        <v>0.43880000000000002</v>
      </c>
      <c r="L402" s="1016">
        <v>0.43880000000000002</v>
      </c>
      <c r="M402" s="1016">
        <v>0.43880000000000002</v>
      </c>
    </row>
    <row r="403" spans="1:13">
      <c r="A403" s="1031">
        <v>9.5</v>
      </c>
      <c r="B403" s="1016">
        <v>0.63249999999999995</v>
      </c>
      <c r="C403" s="1016">
        <v>0.63249999999999995</v>
      </c>
      <c r="D403" s="1016">
        <v>0.59030000000000005</v>
      </c>
      <c r="E403" s="1016">
        <v>0.59030000000000005</v>
      </c>
      <c r="F403" s="1016">
        <v>0.59030000000000005</v>
      </c>
      <c r="G403" s="1016">
        <v>0.51470000000000005</v>
      </c>
      <c r="H403" s="1016">
        <v>0.51470000000000005</v>
      </c>
      <c r="I403" s="1016">
        <v>0.4375</v>
      </c>
      <c r="J403" s="1016">
        <v>0.4375</v>
      </c>
      <c r="K403" s="1016">
        <v>0.4375</v>
      </c>
      <c r="L403" s="1016">
        <v>0.4375</v>
      </c>
      <c r="M403" s="1016">
        <v>0.4375</v>
      </c>
    </row>
    <row r="404" spans="1:13">
      <c r="A404" s="1031">
        <v>9.6</v>
      </c>
      <c r="B404" s="1016">
        <v>0.63149999999999995</v>
      </c>
      <c r="C404" s="1016">
        <v>0.63149999999999995</v>
      </c>
      <c r="D404" s="1016">
        <v>0.58909999999999996</v>
      </c>
      <c r="E404" s="1016">
        <v>0.58909999999999996</v>
      </c>
      <c r="F404" s="1016">
        <v>0.58909999999999996</v>
      </c>
      <c r="G404" s="1016">
        <v>0.51329999999999998</v>
      </c>
      <c r="H404" s="1016">
        <v>0.51329999999999998</v>
      </c>
      <c r="I404" s="1016">
        <v>0.43609999999999999</v>
      </c>
      <c r="J404" s="1016">
        <v>0.43609999999999999</v>
      </c>
      <c r="K404" s="1016">
        <v>0.43609999999999999</v>
      </c>
      <c r="L404" s="1016">
        <v>0.43609999999999999</v>
      </c>
      <c r="M404" s="1016">
        <v>0.43609999999999999</v>
      </c>
    </row>
    <row r="405" spans="1:13">
      <c r="A405" s="1031">
        <v>9.6999999999999993</v>
      </c>
      <c r="B405" s="1016">
        <v>0.63049999999999995</v>
      </c>
      <c r="C405" s="1016">
        <v>0.63049999999999995</v>
      </c>
      <c r="D405" s="1016">
        <v>0.58789999999999998</v>
      </c>
      <c r="E405" s="1016">
        <v>0.58789999999999998</v>
      </c>
      <c r="F405" s="1016">
        <v>0.58789999999999998</v>
      </c>
      <c r="G405" s="1016">
        <v>0.51200000000000001</v>
      </c>
      <c r="H405" s="1016">
        <v>0.51200000000000001</v>
      </c>
      <c r="I405" s="1016">
        <v>0.43480000000000002</v>
      </c>
      <c r="J405" s="1016">
        <v>0.43480000000000002</v>
      </c>
      <c r="K405" s="1016">
        <v>0.43480000000000002</v>
      </c>
      <c r="L405" s="1016">
        <v>0.43480000000000002</v>
      </c>
      <c r="M405" s="1016">
        <v>0.43480000000000002</v>
      </c>
    </row>
    <row r="406" spans="1:13">
      <c r="A406" s="1031">
        <v>9.8000000000000007</v>
      </c>
      <c r="B406" s="1016">
        <v>0.62949999999999995</v>
      </c>
      <c r="C406" s="1016">
        <v>0.62949999999999995</v>
      </c>
      <c r="D406" s="1016">
        <v>0.5867</v>
      </c>
      <c r="E406" s="1016">
        <v>0.5867</v>
      </c>
      <c r="F406" s="1016">
        <v>0.5867</v>
      </c>
      <c r="G406" s="1016">
        <v>0.51060000000000005</v>
      </c>
      <c r="H406" s="1016">
        <v>0.51060000000000005</v>
      </c>
      <c r="I406" s="1016">
        <v>0.43340000000000001</v>
      </c>
      <c r="J406" s="1016">
        <v>0.43340000000000001</v>
      </c>
      <c r="K406" s="1016">
        <v>0.43340000000000001</v>
      </c>
      <c r="L406" s="1016">
        <v>0.43340000000000001</v>
      </c>
      <c r="M406" s="1016">
        <v>0.43340000000000001</v>
      </c>
    </row>
    <row r="407" spans="1:13">
      <c r="A407" s="1031">
        <v>9.9</v>
      </c>
      <c r="B407" s="1016">
        <v>0.62849999999999995</v>
      </c>
      <c r="C407" s="1016">
        <v>0.62849999999999995</v>
      </c>
      <c r="D407" s="1016">
        <v>0.58550000000000002</v>
      </c>
      <c r="E407" s="1016">
        <v>0.58550000000000002</v>
      </c>
      <c r="F407" s="1016">
        <v>0.58550000000000002</v>
      </c>
      <c r="G407" s="1016">
        <v>0.50919999999999999</v>
      </c>
      <c r="H407" s="1016">
        <v>0.50919999999999999</v>
      </c>
      <c r="I407" s="1016">
        <v>0.432</v>
      </c>
      <c r="J407" s="1016">
        <v>0.432</v>
      </c>
      <c r="K407" s="1016">
        <v>0.432</v>
      </c>
      <c r="L407" s="1016">
        <v>0.432</v>
      </c>
      <c r="M407" s="1016">
        <v>0.432</v>
      </c>
    </row>
    <row r="408" spans="1:13">
      <c r="A408" s="1031">
        <v>10</v>
      </c>
      <c r="B408" s="1016">
        <v>0.62749999999999995</v>
      </c>
      <c r="C408" s="1016">
        <v>0.62749999999999995</v>
      </c>
      <c r="D408" s="1016">
        <v>0.58430000000000004</v>
      </c>
      <c r="E408" s="1016">
        <v>0.58430000000000004</v>
      </c>
      <c r="F408" s="1016">
        <v>0.58430000000000004</v>
      </c>
      <c r="G408" s="1016">
        <v>0.50790000000000002</v>
      </c>
      <c r="H408" s="1016">
        <v>0.50790000000000002</v>
      </c>
      <c r="I408" s="1016">
        <v>0.43070000000000003</v>
      </c>
      <c r="J408" s="1016">
        <v>0.43070000000000003</v>
      </c>
      <c r="K408" s="1016">
        <v>0.43070000000000003</v>
      </c>
      <c r="L408" s="1016">
        <v>0.43070000000000003</v>
      </c>
      <c r="M408" s="1016">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5" customWidth="1"/>
    <col min="2" max="2" width="10.25" style="1876" customWidth="1"/>
  </cols>
  <sheetData>
    <row r="1" spans="1:6">
      <c r="A1" s="3521" t="s">
        <v>2074</v>
      </c>
      <c r="B1" s="3521"/>
    </row>
    <row r="2" spans="1:6" ht="14.25" thickBot="1">
      <c r="A2" s="1846"/>
      <c r="B2" s="1846"/>
    </row>
    <row r="3" spans="1:6" ht="14.25" thickBot="1">
      <c r="A3" s="1846"/>
      <c r="B3" s="1846"/>
      <c r="C3" s="1847" t="s">
        <v>2075</v>
      </c>
      <c r="D3" s="1847" t="s">
        <v>2076</v>
      </c>
      <c r="E3" s="1847" t="s">
        <v>2077</v>
      </c>
      <c r="F3" s="1847" t="s">
        <v>2078</v>
      </c>
    </row>
    <row r="4" spans="1:6" ht="14.25" thickBot="1">
      <c r="A4" s="1848" t="s">
        <v>2079</v>
      </c>
      <c r="B4" s="1849" t="s">
        <v>2080</v>
      </c>
      <c r="C4" s="1847"/>
      <c r="D4" s="1847"/>
      <c r="E4" s="1847"/>
      <c r="F4" s="1847"/>
    </row>
    <row r="5" spans="1:6" ht="14.25" thickBot="1">
      <c r="A5" s="1850" t="s">
        <v>2081</v>
      </c>
      <c r="B5" s="1851" t="s">
        <v>2082</v>
      </c>
      <c r="C5" s="1852">
        <v>8.8999999999999996E-2</v>
      </c>
      <c r="D5" s="1852">
        <v>7.3999999999999996E-2</v>
      </c>
      <c r="E5" s="1852">
        <v>7.4999999999999997E-2</v>
      </c>
      <c r="F5" s="1853">
        <v>0.1</v>
      </c>
    </row>
    <row r="6" spans="1:6" ht="14.25" thickBot="1">
      <c r="A6" s="1850" t="s">
        <v>1090</v>
      </c>
      <c r="B6" s="1854" t="s">
        <v>2083</v>
      </c>
      <c r="C6" s="1855">
        <v>0.1</v>
      </c>
      <c r="D6" s="1855">
        <v>9.0999999999999998E-2</v>
      </c>
      <c r="E6" s="1855">
        <v>9.0999999999999998E-2</v>
      </c>
      <c r="F6" s="1856">
        <v>0.1</v>
      </c>
    </row>
    <row r="7" spans="1:6" ht="14.25" thickBot="1">
      <c r="A7" s="1850" t="s">
        <v>1090</v>
      </c>
      <c r="B7" s="1857" t="s">
        <v>1078</v>
      </c>
      <c r="C7" s="1855">
        <v>8.5999999999999993E-2</v>
      </c>
      <c r="D7" s="1855">
        <v>9.6000000000000002E-2</v>
      </c>
      <c r="E7" s="1855">
        <v>7.5999999999999998E-2</v>
      </c>
      <c r="F7" s="1856">
        <v>0.1</v>
      </c>
    </row>
    <row r="8" spans="1:6" ht="14.25" thickBot="1">
      <c r="A8" s="1850" t="s">
        <v>1090</v>
      </c>
      <c r="B8" s="1854" t="s">
        <v>1091</v>
      </c>
      <c r="C8" s="1855">
        <v>9.9000000000000005E-2</v>
      </c>
      <c r="D8" s="1855">
        <v>9.8000000000000004E-2</v>
      </c>
      <c r="E8" s="1855">
        <v>9.8000000000000004E-2</v>
      </c>
      <c r="F8" s="1856">
        <v>0.1</v>
      </c>
    </row>
    <row r="9" spans="1:6" ht="14.25" thickBot="1">
      <c r="A9" s="1858" t="s">
        <v>1090</v>
      </c>
      <c r="B9" s="1859" t="s">
        <v>1105</v>
      </c>
      <c r="C9" s="1860">
        <v>0.05</v>
      </c>
      <c r="D9" s="1861"/>
      <c r="E9" s="1861"/>
      <c r="F9" s="1862"/>
    </row>
    <row r="10" spans="1:6" ht="14.25" thickBot="1">
      <c r="A10" s="1850" t="s">
        <v>1149</v>
      </c>
      <c r="B10" s="1851" t="s">
        <v>2084</v>
      </c>
      <c r="C10" s="1852">
        <v>8.8999999999999996E-2</v>
      </c>
      <c r="D10" s="1852">
        <v>7.2999999999999995E-2</v>
      </c>
      <c r="E10" s="1852">
        <v>8.2000000000000003E-2</v>
      </c>
      <c r="F10" s="1853">
        <v>0.1</v>
      </c>
    </row>
    <row r="11" spans="1:6" ht="14.25" thickBot="1">
      <c r="A11" s="1850" t="s">
        <v>1149</v>
      </c>
      <c r="B11" s="1857" t="s">
        <v>1065</v>
      </c>
      <c r="C11" s="1855">
        <v>8.8999999999999996E-2</v>
      </c>
      <c r="D11" s="1855">
        <v>7.2999999999999995E-2</v>
      </c>
      <c r="E11" s="1855">
        <v>8.2000000000000003E-2</v>
      </c>
      <c r="F11" s="1856">
        <v>0.1</v>
      </c>
    </row>
    <row r="12" spans="1:6" ht="14.25" thickBot="1">
      <c r="A12" s="1850" t="s">
        <v>1149</v>
      </c>
      <c r="B12" s="1857" t="s">
        <v>1079</v>
      </c>
      <c r="C12" s="1855">
        <v>6.0999999999999999E-2</v>
      </c>
      <c r="D12" s="1855">
        <v>7.0999999999999994E-2</v>
      </c>
      <c r="E12" s="1855">
        <v>9.6000000000000002E-2</v>
      </c>
      <c r="F12" s="1856">
        <v>0.1</v>
      </c>
    </row>
    <row r="13" spans="1:6" ht="14.25" thickBot="1">
      <c r="A13" s="1850" t="s">
        <v>1149</v>
      </c>
      <c r="B13" s="1857" t="s">
        <v>1092</v>
      </c>
      <c r="C13" s="1855">
        <v>6.9000000000000006E-2</v>
      </c>
      <c r="D13" s="1855">
        <v>6.5000000000000002E-2</v>
      </c>
      <c r="E13" s="1855">
        <v>6.6000000000000003E-2</v>
      </c>
      <c r="F13" s="1856">
        <v>0.1</v>
      </c>
    </row>
    <row r="14" spans="1:6" ht="14.25" thickBot="1">
      <c r="A14" s="1850" t="s">
        <v>1149</v>
      </c>
      <c r="B14" s="1857" t="s">
        <v>1106</v>
      </c>
      <c r="C14" s="1855">
        <v>0.1</v>
      </c>
      <c r="D14" s="1855">
        <v>6.5000000000000002E-2</v>
      </c>
      <c r="E14" s="1855">
        <v>7.0000000000000007E-2</v>
      </c>
      <c r="F14" s="1856">
        <v>0.1</v>
      </c>
    </row>
    <row r="15" spans="1:6" ht="14.25" thickBot="1">
      <c r="A15" s="1850" t="s">
        <v>1149</v>
      </c>
      <c r="B15" s="1857" t="s">
        <v>1117</v>
      </c>
      <c r="C15" s="1855">
        <v>9.8000000000000004E-2</v>
      </c>
      <c r="D15" s="1855">
        <v>8.8999999999999996E-2</v>
      </c>
      <c r="E15" s="1855">
        <v>8.8999999999999996E-2</v>
      </c>
      <c r="F15" s="1856">
        <v>0.1</v>
      </c>
    </row>
    <row r="16" spans="1:6" ht="14.25" thickBot="1">
      <c r="A16" s="1850" t="s">
        <v>1149</v>
      </c>
      <c r="B16" s="1857" t="s">
        <v>1128</v>
      </c>
      <c r="C16" s="1855">
        <v>7.0000000000000007E-2</v>
      </c>
      <c r="D16" s="1855">
        <v>9.2999999999999999E-2</v>
      </c>
      <c r="E16" s="1855">
        <v>9.6000000000000002E-2</v>
      </c>
      <c r="F16" s="1856">
        <v>0.1</v>
      </c>
    </row>
    <row r="17" spans="1:6" ht="14.25" thickBot="1">
      <c r="A17" s="1850" t="s">
        <v>1149</v>
      </c>
      <c r="B17" s="1857" t="s">
        <v>1139</v>
      </c>
      <c r="C17" s="1855">
        <v>9.5000000000000001E-2</v>
      </c>
      <c r="D17" s="1855">
        <v>0.1</v>
      </c>
      <c r="E17" s="1855">
        <v>0.1</v>
      </c>
      <c r="F17" s="1863"/>
    </row>
    <row r="18" spans="1:6" ht="14.25" thickBot="1">
      <c r="A18" s="1850" t="s">
        <v>1149</v>
      </c>
      <c r="B18" s="1857" t="s">
        <v>1151</v>
      </c>
      <c r="C18" s="1855">
        <v>7.3999999999999996E-2</v>
      </c>
      <c r="D18" s="1855">
        <v>9.9000000000000005E-2</v>
      </c>
      <c r="E18" s="1855">
        <v>0.1</v>
      </c>
      <c r="F18" s="1863"/>
    </row>
    <row r="19" spans="1:6" ht="14.25" thickBot="1">
      <c r="A19" s="1850" t="s">
        <v>1149</v>
      </c>
      <c r="B19" s="1857" t="s">
        <v>1161</v>
      </c>
      <c r="C19" s="1855">
        <v>9.9000000000000005E-2</v>
      </c>
      <c r="D19" s="1855">
        <v>7.5999999999999998E-2</v>
      </c>
      <c r="E19" s="1855">
        <v>8.6999999999999994E-2</v>
      </c>
      <c r="F19" s="1863"/>
    </row>
    <row r="20" spans="1:6" ht="14.25" thickBot="1">
      <c r="A20" s="1850" t="s">
        <v>1149</v>
      </c>
      <c r="B20" s="1857" t="s">
        <v>1171</v>
      </c>
      <c r="C20" s="1855">
        <v>9.8000000000000004E-2</v>
      </c>
      <c r="D20" s="1855">
        <v>8.5000000000000006E-2</v>
      </c>
      <c r="E20" s="1855">
        <v>8.2000000000000003E-2</v>
      </c>
      <c r="F20" s="1863"/>
    </row>
    <row r="21" spans="1:6" ht="14.25" thickBot="1">
      <c r="A21" s="1850" t="s">
        <v>1149</v>
      </c>
      <c r="B21" s="1857" t="s">
        <v>1181</v>
      </c>
      <c r="C21" s="1855">
        <v>6.6000000000000003E-2</v>
      </c>
      <c r="D21" s="1855">
        <v>6.4000000000000001E-2</v>
      </c>
      <c r="E21" s="1855">
        <v>6.5000000000000002E-2</v>
      </c>
      <c r="F21" s="1863"/>
    </row>
    <row r="22" spans="1:6" ht="14.25" thickBot="1">
      <c r="A22" s="1850" t="s">
        <v>1149</v>
      </c>
      <c r="B22" s="1857" t="s">
        <v>2085</v>
      </c>
      <c r="C22" s="1855">
        <v>0.08</v>
      </c>
      <c r="D22" s="1855">
        <v>9.8000000000000004E-2</v>
      </c>
      <c r="E22" s="1855">
        <v>9.8000000000000004E-2</v>
      </c>
      <c r="F22" s="1863"/>
    </row>
    <row r="23" spans="1:6" ht="14.25" thickBot="1">
      <c r="A23" s="1850" t="s">
        <v>1149</v>
      </c>
      <c r="B23" s="1857" t="s">
        <v>1201</v>
      </c>
      <c r="C23" s="1855">
        <v>9.9000000000000005E-2</v>
      </c>
      <c r="D23" s="1855">
        <v>9.8000000000000004E-2</v>
      </c>
      <c r="E23" s="1855">
        <v>9.0999999999999998E-2</v>
      </c>
      <c r="F23" s="1863"/>
    </row>
    <row r="24" spans="1:6" ht="14.25" thickBot="1">
      <c r="A24" s="1850" t="s">
        <v>1149</v>
      </c>
      <c r="B24" s="1857" t="s">
        <v>1211</v>
      </c>
      <c r="C24" s="1855">
        <v>8.8999999999999996E-2</v>
      </c>
      <c r="D24" s="1855">
        <v>9.7000000000000003E-2</v>
      </c>
      <c r="E24" s="1855">
        <v>7.0000000000000007E-2</v>
      </c>
      <c r="F24" s="1863"/>
    </row>
    <row r="25" spans="1:6" ht="14.25" thickBot="1">
      <c r="A25" s="1850" t="s">
        <v>1149</v>
      </c>
      <c r="B25" s="1857" t="s">
        <v>1221</v>
      </c>
      <c r="C25" s="1855">
        <v>8.8999999999999996E-2</v>
      </c>
      <c r="D25" s="1855">
        <v>0.1</v>
      </c>
      <c r="E25" s="1855">
        <v>8.1000000000000003E-2</v>
      </c>
      <c r="F25" s="1863"/>
    </row>
    <row r="26" spans="1:6" ht="14.25" thickBot="1">
      <c r="A26" s="1850" t="s">
        <v>1149</v>
      </c>
      <c r="B26" s="1857" t="s">
        <v>1231</v>
      </c>
      <c r="C26" s="1864"/>
      <c r="D26" s="1855">
        <v>9.6000000000000002E-2</v>
      </c>
      <c r="E26" s="1855">
        <v>9.2999999999999999E-2</v>
      </c>
      <c r="F26" s="1863"/>
    </row>
    <row r="27" spans="1:6" ht="14.25" thickBot="1">
      <c r="A27" s="1850" t="s">
        <v>1149</v>
      </c>
      <c r="B27" s="1857" t="s">
        <v>1241</v>
      </c>
      <c r="C27" s="1864"/>
      <c r="D27" s="1855">
        <v>7.5999999999999998E-2</v>
      </c>
      <c r="E27" s="1855">
        <v>9.1999999999999998E-2</v>
      </c>
      <c r="F27" s="1863"/>
    </row>
    <row r="28" spans="1:6" ht="14.25" thickBot="1">
      <c r="A28" s="1858" t="s">
        <v>1149</v>
      </c>
      <c r="B28" s="1859" t="s">
        <v>1251</v>
      </c>
      <c r="C28" s="1861"/>
      <c r="D28" s="1860">
        <v>7.5999999999999998E-2</v>
      </c>
      <c r="E28" s="1860">
        <v>9.1999999999999998E-2</v>
      </c>
      <c r="F28" s="1862"/>
    </row>
    <row r="29" spans="1:6" ht="14.25" thickBot="1">
      <c r="A29" s="1850" t="s">
        <v>1320</v>
      </c>
      <c r="B29" s="1851" t="s">
        <v>2086</v>
      </c>
      <c r="C29" s="1852">
        <v>6.4000000000000001E-2</v>
      </c>
      <c r="D29" s="1852">
        <v>6.5000000000000002E-2</v>
      </c>
      <c r="E29" s="1852">
        <v>6.9000000000000006E-2</v>
      </c>
      <c r="F29" s="1853">
        <v>0.1</v>
      </c>
    </row>
    <row r="30" spans="1:6" ht="14.25" thickBot="1">
      <c r="A30" s="1850" t="s">
        <v>1320</v>
      </c>
      <c r="B30" s="1857" t="s">
        <v>1066</v>
      </c>
      <c r="C30" s="1855">
        <v>6.4000000000000001E-2</v>
      </c>
      <c r="D30" s="1855">
        <v>9.9000000000000005E-2</v>
      </c>
      <c r="E30" s="1855">
        <v>0.1</v>
      </c>
      <c r="F30" s="1856">
        <v>0.1</v>
      </c>
    </row>
    <row r="31" spans="1:6" ht="14.25" thickBot="1">
      <c r="A31" s="1850" t="s">
        <v>1320</v>
      </c>
      <c r="B31" s="1857" t="s">
        <v>1080</v>
      </c>
      <c r="C31" s="1855">
        <v>0.1</v>
      </c>
      <c r="D31" s="1855">
        <v>9.5000000000000001E-2</v>
      </c>
      <c r="E31" s="1855">
        <v>8.8999999999999996E-2</v>
      </c>
      <c r="F31" s="1856">
        <v>0.1</v>
      </c>
    </row>
    <row r="32" spans="1:6" ht="14.25" thickBot="1">
      <c r="A32" s="1850" t="s">
        <v>1320</v>
      </c>
      <c r="B32" s="1857" t="s">
        <v>1093</v>
      </c>
      <c r="C32" s="1855">
        <v>0.05</v>
      </c>
      <c r="D32" s="1855">
        <v>0.05</v>
      </c>
      <c r="E32" s="1855">
        <v>8.7999999999999995E-2</v>
      </c>
      <c r="F32" s="1856">
        <v>0.1</v>
      </c>
    </row>
    <row r="33" spans="1:6" ht="14.25" thickBot="1">
      <c r="A33" s="1850" t="s">
        <v>1320</v>
      </c>
      <c r="B33" s="1857" t="s">
        <v>1107</v>
      </c>
      <c r="C33" s="1855">
        <v>7.4999999999999997E-2</v>
      </c>
      <c r="D33" s="1855">
        <v>9.4E-2</v>
      </c>
      <c r="E33" s="1855">
        <v>9.7000000000000003E-2</v>
      </c>
      <c r="F33" s="1856">
        <v>0.1</v>
      </c>
    </row>
    <row r="34" spans="1:6" ht="14.25" thickBot="1">
      <c r="A34" s="1850" t="s">
        <v>1320</v>
      </c>
      <c r="B34" s="1857" t="s">
        <v>1118</v>
      </c>
      <c r="C34" s="1855">
        <v>9.8000000000000004E-2</v>
      </c>
      <c r="D34" s="1855">
        <v>8.5999999999999993E-2</v>
      </c>
      <c r="E34" s="1855">
        <v>9.7000000000000003E-2</v>
      </c>
      <c r="F34" s="1856">
        <v>0.1</v>
      </c>
    </row>
    <row r="35" spans="1:6" ht="14.25" thickBot="1">
      <c r="A35" s="1850" t="s">
        <v>1320</v>
      </c>
      <c r="B35" s="1857" t="s">
        <v>1129</v>
      </c>
      <c r="C35" s="1855">
        <v>5.8999999999999997E-2</v>
      </c>
      <c r="D35" s="1855">
        <v>6.5000000000000002E-2</v>
      </c>
      <c r="E35" s="1855">
        <v>7.0000000000000007E-2</v>
      </c>
      <c r="F35" s="1856">
        <v>0.1</v>
      </c>
    </row>
    <row r="36" spans="1:6" ht="14.25" thickBot="1">
      <c r="A36" s="1850" t="s">
        <v>1320</v>
      </c>
      <c r="B36" s="1857" t="s">
        <v>1140</v>
      </c>
      <c r="C36" s="1855">
        <v>6.3E-2</v>
      </c>
      <c r="D36" s="1855">
        <v>0.1</v>
      </c>
      <c r="E36" s="1855">
        <v>0.1</v>
      </c>
      <c r="F36" s="1856">
        <v>0.1</v>
      </c>
    </row>
    <row r="37" spans="1:6" ht="14.25" thickBot="1">
      <c r="A37" s="1850" t="s">
        <v>1320</v>
      </c>
      <c r="B37" s="1857" t="s">
        <v>1152</v>
      </c>
      <c r="C37" s="1855">
        <v>7.3999999999999996E-2</v>
      </c>
      <c r="D37" s="1855">
        <v>0.1</v>
      </c>
      <c r="E37" s="1855">
        <v>0.1</v>
      </c>
      <c r="F37" s="1856">
        <v>0.1</v>
      </c>
    </row>
    <row r="38" spans="1:6" ht="14.25" thickBot="1">
      <c r="A38" s="1850" t="s">
        <v>1320</v>
      </c>
      <c r="B38" s="1857" t="s">
        <v>1162</v>
      </c>
      <c r="C38" s="1855">
        <v>0.1</v>
      </c>
      <c r="D38" s="1855">
        <v>9.6000000000000002E-2</v>
      </c>
      <c r="E38" s="1855">
        <v>9.6000000000000002E-2</v>
      </c>
      <c r="F38" s="1863"/>
    </row>
    <row r="39" spans="1:6" ht="14.25" thickBot="1">
      <c r="A39" s="1850" t="s">
        <v>1320</v>
      </c>
      <c r="B39" s="1857" t="s">
        <v>1172</v>
      </c>
      <c r="C39" s="1855">
        <v>0.1</v>
      </c>
      <c r="D39" s="1855">
        <v>9.6000000000000002E-2</v>
      </c>
      <c r="E39" s="1855">
        <v>9.6000000000000002E-2</v>
      </c>
      <c r="F39" s="1863"/>
    </row>
    <row r="40" spans="1:6" ht="14.25" thickBot="1">
      <c r="A40" s="1850" t="s">
        <v>1320</v>
      </c>
      <c r="B40" s="1857" t="s">
        <v>1182</v>
      </c>
      <c r="C40" s="1855">
        <v>9.6000000000000002E-2</v>
      </c>
      <c r="D40" s="1855">
        <v>0.1</v>
      </c>
      <c r="E40" s="1855">
        <v>9.9000000000000005E-2</v>
      </c>
      <c r="F40" s="1863"/>
    </row>
    <row r="41" spans="1:6" ht="14.25" thickBot="1">
      <c r="A41" s="1850" t="s">
        <v>1320</v>
      </c>
      <c r="B41" s="1857" t="s">
        <v>1192</v>
      </c>
      <c r="C41" s="1855">
        <v>9.6000000000000002E-2</v>
      </c>
      <c r="D41" s="1855">
        <v>9.8000000000000004E-2</v>
      </c>
      <c r="E41" s="1855">
        <v>9.8000000000000004E-2</v>
      </c>
      <c r="F41" s="1863"/>
    </row>
    <row r="42" spans="1:6" ht="14.25" thickBot="1">
      <c r="A42" s="1850" t="s">
        <v>1320</v>
      </c>
      <c r="B42" s="1857" t="s">
        <v>1202</v>
      </c>
      <c r="C42" s="1855">
        <v>0.1</v>
      </c>
      <c r="D42" s="1855">
        <v>8.7999999999999995E-2</v>
      </c>
      <c r="E42" s="1855">
        <v>0.1</v>
      </c>
      <c r="F42" s="1863"/>
    </row>
    <row r="43" spans="1:6" ht="14.25" thickBot="1">
      <c r="A43" s="1850" t="s">
        <v>1320</v>
      </c>
      <c r="B43" s="1857" t="s">
        <v>1212</v>
      </c>
      <c r="C43" s="1855">
        <v>9.8000000000000004E-2</v>
      </c>
      <c r="D43" s="1855">
        <v>9.7000000000000003E-2</v>
      </c>
      <c r="E43" s="1855">
        <v>9.6000000000000002E-2</v>
      </c>
      <c r="F43" s="1863"/>
    </row>
    <row r="44" spans="1:6" ht="14.25" thickBot="1">
      <c r="A44" s="1850" t="s">
        <v>1320</v>
      </c>
      <c r="B44" s="1857" t="s">
        <v>1222</v>
      </c>
      <c r="C44" s="1855">
        <v>8.5999999999999993E-2</v>
      </c>
      <c r="D44" s="1855">
        <v>7.9000000000000001E-2</v>
      </c>
      <c r="E44" s="1855">
        <v>7.0999999999999994E-2</v>
      </c>
      <c r="F44" s="1863"/>
    </row>
    <row r="45" spans="1:6" ht="14.25" thickBot="1">
      <c r="A45" s="1850" t="s">
        <v>1320</v>
      </c>
      <c r="B45" s="1857" t="s">
        <v>1232</v>
      </c>
      <c r="C45" s="1855">
        <v>9.8000000000000004E-2</v>
      </c>
      <c r="D45" s="1855">
        <v>9.6000000000000002E-2</v>
      </c>
      <c r="E45" s="1855">
        <v>9.6000000000000002E-2</v>
      </c>
      <c r="F45" s="1863"/>
    </row>
    <row r="46" spans="1:6" ht="14.25" thickBot="1">
      <c r="A46" s="1850" t="s">
        <v>1320</v>
      </c>
      <c r="B46" s="1857" t="s">
        <v>1242</v>
      </c>
      <c r="C46" s="1855">
        <v>8.5999999999999993E-2</v>
      </c>
      <c r="D46" s="1855">
        <v>9.8000000000000004E-2</v>
      </c>
      <c r="E46" s="1855">
        <v>8.7999999999999995E-2</v>
      </c>
      <c r="F46" s="1863"/>
    </row>
    <row r="47" spans="1:6" ht="14.25" thickBot="1">
      <c r="A47" s="1850" t="s">
        <v>1320</v>
      </c>
      <c r="B47" s="1857" t="s">
        <v>1252</v>
      </c>
      <c r="C47" s="1855">
        <v>9.6000000000000002E-2</v>
      </c>
      <c r="D47" s="1864"/>
      <c r="E47" s="1855">
        <v>6.9000000000000006E-2</v>
      </c>
      <c r="F47" s="1863"/>
    </row>
    <row r="48" spans="1:6" ht="14.25" thickBot="1">
      <c r="A48" s="1858" t="s">
        <v>1320</v>
      </c>
      <c r="B48" s="1859" t="s">
        <v>1261</v>
      </c>
      <c r="C48" s="1860">
        <v>9.8000000000000004E-2</v>
      </c>
      <c r="D48" s="1861"/>
      <c r="E48" s="1860">
        <v>9.5000000000000001E-2</v>
      </c>
      <c r="F48" s="1862"/>
    </row>
    <row r="49" spans="1:6" ht="14.25" thickBot="1">
      <c r="A49" s="1850" t="s">
        <v>918</v>
      </c>
      <c r="B49" s="1851" t="s">
        <v>2087</v>
      </c>
      <c r="C49" s="1852">
        <v>9.7000000000000003E-2</v>
      </c>
      <c r="D49" s="1852">
        <v>9.5000000000000001E-2</v>
      </c>
      <c r="E49" s="1852">
        <v>9.7000000000000003E-2</v>
      </c>
      <c r="F49" s="1853">
        <v>0.1</v>
      </c>
    </row>
    <row r="50" spans="1:6" ht="14.25" thickBot="1">
      <c r="A50" s="1850" t="s">
        <v>918</v>
      </c>
      <c r="B50" s="1854" t="s">
        <v>1067</v>
      </c>
      <c r="C50" s="1855">
        <v>7.4999999999999997E-2</v>
      </c>
      <c r="D50" s="1855">
        <v>9.5000000000000001E-2</v>
      </c>
      <c r="E50" s="1855">
        <v>0.1</v>
      </c>
      <c r="F50" s="1856">
        <v>0.1</v>
      </c>
    </row>
    <row r="51" spans="1:6" ht="14.25" thickBot="1">
      <c r="A51" s="1850" t="s">
        <v>918</v>
      </c>
      <c r="B51" s="1854" t="s">
        <v>1081</v>
      </c>
      <c r="C51" s="1855">
        <v>9.8000000000000004E-2</v>
      </c>
      <c r="D51" s="1855">
        <v>8.8999999999999996E-2</v>
      </c>
      <c r="E51" s="1855">
        <v>0.1</v>
      </c>
      <c r="F51" s="1856">
        <v>0.1</v>
      </c>
    </row>
    <row r="52" spans="1:6" ht="14.25" thickBot="1">
      <c r="A52" s="1850" t="s">
        <v>918</v>
      </c>
      <c r="B52" s="1854" t="s">
        <v>1094</v>
      </c>
      <c r="C52" s="1855">
        <v>9.8000000000000004E-2</v>
      </c>
      <c r="D52" s="1855">
        <v>9.7000000000000003E-2</v>
      </c>
      <c r="E52" s="1855">
        <v>8.1000000000000003E-2</v>
      </c>
      <c r="F52" s="1856">
        <v>0.1</v>
      </c>
    </row>
    <row r="53" spans="1:6" ht="14.25" thickBot="1">
      <c r="A53" s="1850" t="s">
        <v>918</v>
      </c>
      <c r="B53" s="1854" t="s">
        <v>1108</v>
      </c>
      <c r="C53" s="1855">
        <v>9.7000000000000003E-2</v>
      </c>
      <c r="D53" s="1855">
        <v>7.5999999999999998E-2</v>
      </c>
      <c r="E53" s="1855">
        <v>7.0999999999999994E-2</v>
      </c>
      <c r="F53" s="1856">
        <v>0.1</v>
      </c>
    </row>
    <row r="54" spans="1:6" ht="14.25" thickBot="1">
      <c r="A54" s="1850" t="s">
        <v>918</v>
      </c>
      <c r="B54" s="1854" t="s">
        <v>1119</v>
      </c>
      <c r="C54" s="1855">
        <v>7.5999999999999998E-2</v>
      </c>
      <c r="D54" s="1855">
        <v>0.1</v>
      </c>
      <c r="E54" s="1855">
        <v>9.9000000000000005E-2</v>
      </c>
      <c r="F54" s="1856">
        <v>0.1</v>
      </c>
    </row>
    <row r="55" spans="1:6" ht="14.25" thickBot="1">
      <c r="A55" s="1850" t="s">
        <v>918</v>
      </c>
      <c r="B55" s="1854" t="s">
        <v>1130</v>
      </c>
      <c r="C55" s="1855">
        <v>0.1</v>
      </c>
      <c r="D55" s="1855">
        <v>0.1</v>
      </c>
      <c r="E55" s="1855">
        <v>9.6000000000000002E-2</v>
      </c>
      <c r="F55" s="1856">
        <v>0.1</v>
      </c>
    </row>
    <row r="56" spans="1:6" ht="14.25" thickBot="1">
      <c r="A56" s="1850" t="s">
        <v>918</v>
      </c>
      <c r="B56" s="1854" t="s">
        <v>1141</v>
      </c>
      <c r="C56" s="1855">
        <v>0.1</v>
      </c>
      <c r="D56" s="1855">
        <v>9.6000000000000002E-2</v>
      </c>
      <c r="E56" s="1855">
        <v>5.1999999999999998E-2</v>
      </c>
      <c r="F56" s="1856">
        <v>0.1</v>
      </c>
    </row>
    <row r="57" spans="1:6" ht="14.25" thickBot="1">
      <c r="A57" s="1850" t="s">
        <v>918</v>
      </c>
      <c r="B57" s="1854" t="s">
        <v>1153</v>
      </c>
      <c r="C57" s="1855">
        <v>9.7000000000000003E-2</v>
      </c>
      <c r="D57" s="1855">
        <v>9.6000000000000002E-2</v>
      </c>
      <c r="E57" s="1855">
        <v>9.6000000000000002E-2</v>
      </c>
      <c r="F57" s="1856">
        <v>0.1</v>
      </c>
    </row>
    <row r="58" spans="1:6" ht="14.25" thickBot="1">
      <c r="A58" s="1850" t="s">
        <v>918</v>
      </c>
      <c r="B58" s="1854" t="s">
        <v>1163</v>
      </c>
      <c r="C58" s="1855">
        <v>9.6000000000000002E-2</v>
      </c>
      <c r="D58" s="1855">
        <v>9.9000000000000005E-2</v>
      </c>
      <c r="E58" s="1855">
        <v>9.6000000000000002E-2</v>
      </c>
      <c r="F58" s="1856">
        <v>0.1</v>
      </c>
    </row>
    <row r="59" spans="1:6" ht="14.25" thickBot="1">
      <c r="A59" s="1850" t="s">
        <v>918</v>
      </c>
      <c r="B59" s="1854" t="s">
        <v>1173</v>
      </c>
      <c r="C59" s="1855">
        <v>7.1999999999999995E-2</v>
      </c>
      <c r="D59" s="1855">
        <v>9.6000000000000002E-2</v>
      </c>
      <c r="E59" s="1855">
        <v>7.0999999999999994E-2</v>
      </c>
      <c r="F59" s="1856">
        <v>0.1</v>
      </c>
    </row>
    <row r="60" spans="1:6" ht="14.25" thickBot="1">
      <c r="A60" s="1850" t="s">
        <v>918</v>
      </c>
      <c r="B60" s="1854" t="s">
        <v>1183</v>
      </c>
      <c r="C60" s="1855">
        <v>9.6000000000000002E-2</v>
      </c>
      <c r="D60" s="1855">
        <v>8.8999999999999996E-2</v>
      </c>
      <c r="E60" s="1855">
        <v>9.6000000000000002E-2</v>
      </c>
      <c r="F60" s="1856">
        <v>0.1</v>
      </c>
    </row>
    <row r="61" spans="1:6" ht="14.25" thickBot="1">
      <c r="A61" s="1850" t="s">
        <v>918</v>
      </c>
      <c r="B61" s="1854" t="s">
        <v>1193</v>
      </c>
      <c r="C61" s="1855">
        <v>8.8999999999999996E-2</v>
      </c>
      <c r="D61" s="1855">
        <v>9.8000000000000004E-2</v>
      </c>
      <c r="E61" s="1855">
        <v>8.7999999999999995E-2</v>
      </c>
      <c r="F61" s="1863"/>
    </row>
    <row r="62" spans="1:6" ht="14.25" thickBot="1">
      <c r="A62" s="1850" t="s">
        <v>918</v>
      </c>
      <c r="B62" s="1854" t="s">
        <v>1203</v>
      </c>
      <c r="C62" s="1855">
        <v>9.8000000000000004E-2</v>
      </c>
      <c r="D62" s="1855">
        <v>9.2999999999999999E-2</v>
      </c>
      <c r="E62" s="1855">
        <v>9.7000000000000003E-2</v>
      </c>
      <c r="F62" s="1863"/>
    </row>
    <row r="63" spans="1:6" ht="14.25" thickBot="1">
      <c r="A63" s="1850" t="s">
        <v>918</v>
      </c>
      <c r="B63" s="1854" t="s">
        <v>1213</v>
      </c>
      <c r="C63" s="1855">
        <v>9.6000000000000002E-2</v>
      </c>
      <c r="D63" s="1855">
        <v>9.8000000000000004E-2</v>
      </c>
      <c r="E63" s="1855">
        <v>0.09</v>
      </c>
      <c r="F63" s="1863"/>
    </row>
    <row r="64" spans="1:6" ht="14.25" thickBot="1">
      <c r="A64" s="1850" t="s">
        <v>918</v>
      </c>
      <c r="B64" s="1854" t="s">
        <v>1223</v>
      </c>
      <c r="C64" s="1855">
        <v>9.9000000000000005E-2</v>
      </c>
      <c r="D64" s="1855">
        <v>9.7000000000000003E-2</v>
      </c>
      <c r="E64" s="1855">
        <v>9.9000000000000005E-2</v>
      </c>
      <c r="F64" s="1863"/>
    </row>
    <row r="65" spans="1:6" ht="14.25" thickBot="1">
      <c r="A65" s="1850" t="s">
        <v>918</v>
      </c>
      <c r="B65" s="1854" t="s">
        <v>1233</v>
      </c>
      <c r="C65" s="1855">
        <v>9.8000000000000004E-2</v>
      </c>
      <c r="D65" s="1855">
        <v>9.6000000000000002E-2</v>
      </c>
      <c r="E65" s="1855">
        <v>9.6000000000000002E-2</v>
      </c>
      <c r="F65" s="1863"/>
    </row>
    <row r="66" spans="1:6" ht="14.25" thickBot="1">
      <c r="A66" s="1850" t="s">
        <v>918</v>
      </c>
      <c r="B66" s="1854" t="s">
        <v>1243</v>
      </c>
      <c r="C66" s="1855">
        <v>9.6000000000000002E-2</v>
      </c>
      <c r="D66" s="1855">
        <v>9.1999999999999998E-2</v>
      </c>
      <c r="E66" s="1855">
        <v>9.6000000000000002E-2</v>
      </c>
      <c r="F66" s="1863"/>
    </row>
    <row r="67" spans="1:6" ht="14.25" thickBot="1">
      <c r="A67" s="1850" t="s">
        <v>918</v>
      </c>
      <c r="B67" s="1854" t="s">
        <v>1253</v>
      </c>
      <c r="C67" s="1855">
        <v>9.4E-2</v>
      </c>
      <c r="D67" s="1855">
        <v>0.1</v>
      </c>
      <c r="E67" s="1855">
        <v>8.7999999999999995E-2</v>
      </c>
      <c r="F67" s="1863"/>
    </row>
    <row r="68" spans="1:6" ht="14.25" thickBot="1">
      <c r="A68" s="1850" t="s">
        <v>918</v>
      </c>
      <c r="B68" s="1854" t="s">
        <v>1262</v>
      </c>
      <c r="C68" s="1855">
        <v>0.1</v>
      </c>
      <c r="D68" s="1855">
        <v>8.7999999999999995E-2</v>
      </c>
      <c r="E68" s="1855">
        <v>9.7000000000000003E-2</v>
      </c>
      <c r="F68" s="1863"/>
    </row>
    <row r="69" spans="1:6" ht="14.25" thickBot="1">
      <c r="A69" s="1850" t="s">
        <v>918</v>
      </c>
      <c r="B69" s="1854" t="s">
        <v>1271</v>
      </c>
      <c r="C69" s="1855">
        <v>6.4000000000000001E-2</v>
      </c>
      <c r="D69" s="1855">
        <v>0.1</v>
      </c>
      <c r="E69" s="1855">
        <v>0.1</v>
      </c>
      <c r="F69" s="1863"/>
    </row>
    <row r="70" spans="1:6" ht="14.25" thickBot="1">
      <c r="A70" s="1850" t="s">
        <v>918</v>
      </c>
      <c r="B70" s="1854" t="s">
        <v>1279</v>
      </c>
      <c r="C70" s="1855">
        <v>9.0999999999999998E-2</v>
      </c>
      <c r="D70" s="1864"/>
      <c r="E70" s="1864"/>
      <c r="F70" s="1863"/>
    </row>
    <row r="71" spans="1:6" ht="14.25" thickBot="1">
      <c r="A71" s="1850" t="s">
        <v>918</v>
      </c>
      <c r="B71" s="1854" t="s">
        <v>1286</v>
      </c>
      <c r="C71" s="1855">
        <v>0.1</v>
      </c>
      <c r="D71" s="1864"/>
      <c r="E71" s="1864"/>
      <c r="F71" s="1863"/>
    </row>
    <row r="72" spans="1:6" ht="14.25" thickBot="1">
      <c r="A72" s="1850" t="s">
        <v>918</v>
      </c>
      <c r="B72" s="1854" t="s">
        <v>2088</v>
      </c>
      <c r="C72" s="1864"/>
      <c r="D72" s="1864"/>
      <c r="E72" s="1864"/>
      <c r="F72" s="1856">
        <v>0.05</v>
      </c>
    </row>
    <row r="73" spans="1:6" ht="14.25" thickBot="1">
      <c r="A73" s="1850" t="s">
        <v>918</v>
      </c>
      <c r="B73" s="1854" t="s">
        <v>2089</v>
      </c>
      <c r="C73" s="1864"/>
      <c r="D73" s="1864"/>
      <c r="E73" s="1864"/>
      <c r="F73" s="1856">
        <v>0.05</v>
      </c>
    </row>
    <row r="74" spans="1:6" ht="14.25" thickBot="1">
      <c r="A74" s="1850" t="s">
        <v>918</v>
      </c>
      <c r="B74" s="1854" t="s">
        <v>2090</v>
      </c>
      <c r="C74" s="1864"/>
      <c r="D74" s="1864"/>
      <c r="E74" s="1864"/>
      <c r="F74" s="1856">
        <v>0.05</v>
      </c>
    </row>
    <row r="75" spans="1:6" ht="14.25" thickBot="1">
      <c r="A75" s="1858" t="s">
        <v>918</v>
      </c>
      <c r="B75" s="1865" t="s">
        <v>2091</v>
      </c>
      <c r="C75" s="1861"/>
      <c r="D75" s="1861"/>
      <c r="E75" s="1861"/>
      <c r="F75" s="1866">
        <v>0.05</v>
      </c>
    </row>
    <row r="76" spans="1:6" ht="14.25" thickBot="1">
      <c r="A76" s="1850" t="s">
        <v>1401</v>
      </c>
      <c r="B76" s="1851" t="s">
        <v>2092</v>
      </c>
      <c r="C76" s="1852">
        <v>0.1</v>
      </c>
      <c r="D76" s="1852">
        <v>0.1</v>
      </c>
      <c r="E76" s="1852">
        <v>0.1</v>
      </c>
      <c r="F76" s="1853">
        <v>0.1</v>
      </c>
    </row>
    <row r="77" spans="1:6" ht="14.25" thickBot="1">
      <c r="A77" s="1850" t="s">
        <v>1401</v>
      </c>
      <c r="B77" s="1854" t="s">
        <v>1068</v>
      </c>
      <c r="C77" s="1855">
        <v>8.7999999999999995E-2</v>
      </c>
      <c r="D77" s="1855">
        <v>8.6999999999999994E-2</v>
      </c>
      <c r="E77" s="1855">
        <v>7.9000000000000001E-2</v>
      </c>
      <c r="F77" s="1856">
        <v>0.1</v>
      </c>
    </row>
    <row r="78" spans="1:6" ht="14.25" thickBot="1">
      <c r="A78" s="1850" t="s">
        <v>1401</v>
      </c>
      <c r="B78" s="1854" t="s">
        <v>1082</v>
      </c>
      <c r="C78" s="1855">
        <v>8.6999999999999994E-2</v>
      </c>
      <c r="D78" s="1855">
        <v>8.4000000000000005E-2</v>
      </c>
      <c r="E78" s="1855">
        <v>9.6000000000000002E-2</v>
      </c>
      <c r="F78" s="1856">
        <v>0.1</v>
      </c>
    </row>
    <row r="79" spans="1:6" ht="14.25" thickBot="1">
      <c r="A79" s="1850" t="s">
        <v>1401</v>
      </c>
      <c r="B79" s="1854" t="s">
        <v>1095</v>
      </c>
      <c r="C79" s="1855">
        <v>9.8000000000000004E-2</v>
      </c>
      <c r="D79" s="1855">
        <v>9.8000000000000004E-2</v>
      </c>
      <c r="E79" s="1855">
        <v>9.0999999999999998E-2</v>
      </c>
      <c r="F79" s="1856">
        <v>0.1</v>
      </c>
    </row>
    <row r="80" spans="1:6" ht="14.25" thickBot="1">
      <c r="A80" s="1850" t="s">
        <v>1401</v>
      </c>
      <c r="B80" s="1854" t="s">
        <v>1109</v>
      </c>
      <c r="C80" s="1855">
        <v>9.6000000000000002E-2</v>
      </c>
      <c r="D80" s="1855">
        <v>9.6000000000000002E-2</v>
      </c>
      <c r="E80" s="1855">
        <v>0.1</v>
      </c>
      <c r="F80" s="1856">
        <v>0.1</v>
      </c>
    </row>
    <row r="81" spans="1:6" ht="14.25" thickBot="1">
      <c r="A81" s="1850" t="s">
        <v>1401</v>
      </c>
      <c r="B81" s="1854" t="s">
        <v>1120</v>
      </c>
      <c r="C81" s="1855">
        <v>9.9000000000000005E-2</v>
      </c>
      <c r="D81" s="1855">
        <v>9.9000000000000005E-2</v>
      </c>
      <c r="E81" s="1855">
        <v>9.8000000000000004E-2</v>
      </c>
      <c r="F81" s="1856">
        <v>0.1</v>
      </c>
    </row>
    <row r="82" spans="1:6" ht="14.25" thickBot="1">
      <c r="A82" s="1850" t="s">
        <v>1401</v>
      </c>
      <c r="B82" s="1854" t="s">
        <v>1131</v>
      </c>
      <c r="C82" s="1855">
        <v>9.9000000000000005E-2</v>
      </c>
      <c r="D82" s="1855">
        <v>9.9000000000000005E-2</v>
      </c>
      <c r="E82" s="1855">
        <v>9.7000000000000003E-2</v>
      </c>
      <c r="F82" s="1856">
        <v>0.1</v>
      </c>
    </row>
    <row r="83" spans="1:6" ht="14.25" thickBot="1">
      <c r="A83" s="1850" t="s">
        <v>1401</v>
      </c>
      <c r="B83" s="1854" t="s">
        <v>1142</v>
      </c>
      <c r="C83" s="1855">
        <v>9.8000000000000004E-2</v>
      </c>
      <c r="D83" s="1855">
        <v>9.8000000000000004E-2</v>
      </c>
      <c r="E83" s="1855">
        <v>9.8000000000000004E-2</v>
      </c>
      <c r="F83" s="1856">
        <v>0.1</v>
      </c>
    </row>
    <row r="84" spans="1:6" ht="14.25" thickBot="1">
      <c r="A84" s="1850" t="s">
        <v>1401</v>
      </c>
      <c r="B84" s="1854" t="s">
        <v>1154</v>
      </c>
      <c r="C84" s="1855">
        <v>9.9000000000000005E-2</v>
      </c>
      <c r="D84" s="1855">
        <v>9.9000000000000005E-2</v>
      </c>
      <c r="E84" s="1855">
        <v>9.9000000000000005E-2</v>
      </c>
      <c r="F84" s="1856">
        <v>0.1</v>
      </c>
    </row>
    <row r="85" spans="1:6" ht="14.25" thickBot="1">
      <c r="A85" s="1850" t="s">
        <v>1401</v>
      </c>
      <c r="B85" s="1854" t="s">
        <v>1164</v>
      </c>
      <c r="C85" s="1855">
        <v>9.9000000000000005E-2</v>
      </c>
      <c r="D85" s="1855">
        <v>9.9000000000000005E-2</v>
      </c>
      <c r="E85" s="1855">
        <v>9.9000000000000005E-2</v>
      </c>
      <c r="F85" s="1856">
        <v>0.1</v>
      </c>
    </row>
    <row r="86" spans="1:6" ht="14.25" thickBot="1">
      <c r="A86" s="1850" t="s">
        <v>1401</v>
      </c>
      <c r="B86" s="1854" t="s">
        <v>1174</v>
      </c>
      <c r="C86" s="1855">
        <v>0.1</v>
      </c>
      <c r="D86" s="1855">
        <v>0.1</v>
      </c>
      <c r="E86" s="1855">
        <v>7.6999999999999999E-2</v>
      </c>
      <c r="F86" s="1856">
        <v>0.1</v>
      </c>
    </row>
    <row r="87" spans="1:6" ht="14.25" thickBot="1">
      <c r="A87" s="1850" t="s">
        <v>1401</v>
      </c>
      <c r="B87" s="1854" t="s">
        <v>1184</v>
      </c>
      <c r="C87" s="1855">
        <v>0.1</v>
      </c>
      <c r="D87" s="1855">
        <v>0.1</v>
      </c>
      <c r="E87" s="1855">
        <v>9.8000000000000004E-2</v>
      </c>
      <c r="F87" s="1863"/>
    </row>
    <row r="88" spans="1:6" ht="14.25" thickBot="1">
      <c r="A88" s="1850" t="s">
        <v>1401</v>
      </c>
      <c r="B88" s="1854" t="s">
        <v>1194</v>
      </c>
      <c r="C88" s="1855">
        <v>9.1999999999999998E-2</v>
      </c>
      <c r="D88" s="1855">
        <v>8.5000000000000006E-2</v>
      </c>
      <c r="E88" s="1855">
        <v>9.6000000000000002E-2</v>
      </c>
      <c r="F88" s="1863"/>
    </row>
    <row r="89" spans="1:6" ht="14.25" thickBot="1">
      <c r="A89" s="1850" t="s">
        <v>1401</v>
      </c>
      <c r="B89" s="1854" t="s">
        <v>1204</v>
      </c>
      <c r="C89" s="1855">
        <v>0.1</v>
      </c>
      <c r="D89" s="1855">
        <v>0.1</v>
      </c>
      <c r="E89" s="1855">
        <v>9.7000000000000003E-2</v>
      </c>
      <c r="F89" s="1863"/>
    </row>
    <row r="90" spans="1:6" ht="14.25" thickBot="1">
      <c r="A90" s="1850" t="s">
        <v>1401</v>
      </c>
      <c r="B90" s="1854" t="s">
        <v>1214</v>
      </c>
      <c r="C90" s="1855">
        <v>9.8000000000000004E-2</v>
      </c>
      <c r="D90" s="1855">
        <v>9.8000000000000004E-2</v>
      </c>
      <c r="E90" s="1855">
        <v>8.7999999999999995E-2</v>
      </c>
      <c r="F90" s="1863"/>
    </row>
    <row r="91" spans="1:6" ht="14.25" thickBot="1">
      <c r="A91" s="1850" t="s">
        <v>1401</v>
      </c>
      <c r="B91" s="1854" t="s">
        <v>1224</v>
      </c>
      <c r="C91" s="1855">
        <v>9.9000000000000005E-2</v>
      </c>
      <c r="D91" s="1855">
        <v>9.9000000000000005E-2</v>
      </c>
      <c r="E91" s="1855">
        <v>9.0999999999999998E-2</v>
      </c>
      <c r="F91" s="1863"/>
    </row>
    <row r="92" spans="1:6" ht="14.25" thickBot="1">
      <c r="A92" s="1850" t="s">
        <v>1401</v>
      </c>
      <c r="B92" s="1854" t="s">
        <v>1234</v>
      </c>
      <c r="C92" s="1855">
        <v>9.6000000000000002E-2</v>
      </c>
      <c r="D92" s="1855">
        <v>9.6000000000000002E-2</v>
      </c>
      <c r="E92" s="1855">
        <v>7.2999999999999995E-2</v>
      </c>
      <c r="F92" s="1863"/>
    </row>
    <row r="93" spans="1:6" ht="14.25" thickBot="1">
      <c r="A93" s="1850" t="s">
        <v>1401</v>
      </c>
      <c r="B93" s="1854" t="s">
        <v>1244</v>
      </c>
      <c r="C93" s="1855">
        <v>9.6000000000000002E-2</v>
      </c>
      <c r="D93" s="1855">
        <v>9.6000000000000002E-2</v>
      </c>
      <c r="E93" s="1855">
        <v>9.9000000000000005E-2</v>
      </c>
      <c r="F93" s="1863"/>
    </row>
    <row r="94" spans="1:6" ht="14.25" thickBot="1">
      <c r="A94" s="1850" t="s">
        <v>1401</v>
      </c>
      <c r="B94" s="1854" t="s">
        <v>1254</v>
      </c>
      <c r="C94" s="1855">
        <v>7.5999999999999998E-2</v>
      </c>
      <c r="D94" s="1855">
        <v>7.3999999999999996E-2</v>
      </c>
      <c r="E94" s="1855">
        <v>9.7000000000000003E-2</v>
      </c>
      <c r="F94" s="1863"/>
    </row>
    <row r="95" spans="1:6" ht="14.25" thickBot="1">
      <c r="A95" s="1850" t="s">
        <v>1401</v>
      </c>
      <c r="B95" s="1854" t="s">
        <v>1263</v>
      </c>
      <c r="C95" s="1855">
        <v>9.9000000000000005E-2</v>
      </c>
      <c r="D95" s="1855">
        <v>9.4E-2</v>
      </c>
      <c r="E95" s="1855">
        <v>9.6000000000000002E-2</v>
      </c>
      <c r="F95" s="1863"/>
    </row>
    <row r="96" spans="1:6" ht="14.25" thickBot="1">
      <c r="A96" s="1850" t="s">
        <v>1401</v>
      </c>
      <c r="B96" s="1854" t="s">
        <v>1272</v>
      </c>
      <c r="C96" s="1855">
        <v>9.9000000000000005E-2</v>
      </c>
      <c r="D96" s="1855">
        <v>9.9000000000000005E-2</v>
      </c>
      <c r="E96" s="1855">
        <v>9.9000000000000005E-2</v>
      </c>
      <c r="F96" s="1863"/>
    </row>
    <row r="97" spans="1:6" ht="14.25" thickBot="1">
      <c r="A97" s="1850" t="s">
        <v>1401</v>
      </c>
      <c r="B97" s="1854" t="s">
        <v>1280</v>
      </c>
      <c r="C97" s="1855">
        <v>9.8000000000000004E-2</v>
      </c>
      <c r="D97" s="1855">
        <v>9.8000000000000004E-2</v>
      </c>
      <c r="E97" s="1855">
        <v>9.7000000000000003E-2</v>
      </c>
      <c r="F97" s="1863"/>
    </row>
    <row r="98" spans="1:6" ht="14.25" thickBot="1">
      <c r="A98" s="1850" t="s">
        <v>1401</v>
      </c>
      <c r="B98" s="1854" t="s">
        <v>1287</v>
      </c>
      <c r="C98" s="1855">
        <v>0.1</v>
      </c>
      <c r="D98" s="1855">
        <v>0.1</v>
      </c>
      <c r="E98" s="1855">
        <v>9.7000000000000003E-2</v>
      </c>
      <c r="F98" s="1863"/>
    </row>
    <row r="99" spans="1:6" ht="14.25" thickBot="1">
      <c r="A99" s="1850" t="s">
        <v>1401</v>
      </c>
      <c r="B99" s="1854" t="s">
        <v>1294</v>
      </c>
      <c r="C99" s="1855">
        <v>0.1</v>
      </c>
      <c r="D99" s="1855">
        <v>0.1</v>
      </c>
      <c r="E99" s="1864"/>
      <c r="F99" s="1863"/>
    </row>
    <row r="100" spans="1:6" ht="14.25" thickBot="1">
      <c r="A100" s="1850" t="s">
        <v>1401</v>
      </c>
      <c r="B100" s="1854" t="s">
        <v>1301</v>
      </c>
      <c r="C100" s="1855">
        <v>0.09</v>
      </c>
      <c r="D100" s="1855">
        <v>8.8999999999999996E-2</v>
      </c>
      <c r="E100" s="1864"/>
      <c r="F100" s="1863"/>
    </row>
    <row r="101" spans="1:6" ht="14.25" thickBot="1">
      <c r="A101" s="1850" t="s">
        <v>1401</v>
      </c>
      <c r="B101" s="1854" t="s">
        <v>1308</v>
      </c>
      <c r="C101" s="1855">
        <v>9.8000000000000004E-2</v>
      </c>
      <c r="D101" s="1855">
        <v>9.7000000000000003E-2</v>
      </c>
      <c r="E101" s="1864"/>
      <c r="F101" s="1863"/>
    </row>
    <row r="102" spans="1:6" ht="14.25" thickBot="1">
      <c r="A102" s="1850" t="s">
        <v>1401</v>
      </c>
      <c r="B102" s="1854" t="s">
        <v>2093</v>
      </c>
      <c r="C102" s="1864"/>
      <c r="D102" s="1864"/>
      <c r="E102" s="1864"/>
      <c r="F102" s="1856">
        <v>0.05</v>
      </c>
    </row>
    <row r="103" spans="1:6" ht="24.75" thickBot="1">
      <c r="A103" s="1850" t="s">
        <v>1401</v>
      </c>
      <c r="B103" s="1854" t="s">
        <v>2094</v>
      </c>
      <c r="C103" s="1864"/>
      <c r="D103" s="1864"/>
      <c r="E103" s="1864"/>
      <c r="F103" s="1856">
        <v>0.05</v>
      </c>
    </row>
    <row r="104" spans="1:6" ht="14.25" thickBot="1">
      <c r="A104" s="1850" t="s">
        <v>1401</v>
      </c>
      <c r="B104" s="1854" t="s">
        <v>2095</v>
      </c>
      <c r="C104" s="1864"/>
      <c r="D104" s="1864"/>
      <c r="E104" s="1864"/>
      <c r="F104" s="1856">
        <v>0.05</v>
      </c>
    </row>
    <row r="105" spans="1:6" ht="14.25" thickBot="1">
      <c r="A105" s="1850" t="s">
        <v>1401</v>
      </c>
      <c r="B105" s="1854" t="s">
        <v>2096</v>
      </c>
      <c r="C105" s="1864"/>
      <c r="D105" s="1864"/>
      <c r="E105" s="1864"/>
      <c r="F105" s="1856">
        <v>0.05</v>
      </c>
    </row>
    <row r="106" spans="1:6" ht="14.25" thickBot="1">
      <c r="A106" s="1850" t="s">
        <v>1401</v>
      </c>
      <c r="B106" s="1854" t="s">
        <v>2097</v>
      </c>
      <c r="C106" s="1864"/>
      <c r="D106" s="1864"/>
      <c r="E106" s="1864"/>
      <c r="F106" s="1856">
        <v>0.05</v>
      </c>
    </row>
    <row r="107" spans="1:6" ht="24.75" thickBot="1">
      <c r="A107" s="1850" t="s">
        <v>1401</v>
      </c>
      <c r="B107" s="1854" t="s">
        <v>2098</v>
      </c>
      <c r="C107" s="1864"/>
      <c r="D107" s="1864"/>
      <c r="E107" s="1864"/>
      <c r="F107" s="1856">
        <v>0.05</v>
      </c>
    </row>
    <row r="108" spans="1:6" ht="24.75" thickBot="1">
      <c r="A108" s="1850" t="s">
        <v>1401</v>
      </c>
      <c r="B108" s="1854" t="s">
        <v>2099</v>
      </c>
      <c r="C108" s="1864"/>
      <c r="D108" s="1864"/>
      <c r="E108" s="1864"/>
      <c r="F108" s="1856">
        <v>0.05</v>
      </c>
    </row>
    <row r="109" spans="1:6" ht="24.75" thickBot="1">
      <c r="A109" s="1858" t="s">
        <v>1401</v>
      </c>
      <c r="B109" s="1865" t="s">
        <v>2100</v>
      </c>
      <c r="C109" s="1861"/>
      <c r="D109" s="1861"/>
      <c r="E109" s="1861"/>
      <c r="F109" s="1866">
        <v>0.05</v>
      </c>
    </row>
    <row r="110" spans="1:6" ht="14.25" thickBot="1">
      <c r="A110" s="1850" t="s">
        <v>1403</v>
      </c>
      <c r="B110" s="1851" t="s">
        <v>2101</v>
      </c>
      <c r="C110" s="1852">
        <v>0.129</v>
      </c>
      <c r="D110" s="1852">
        <v>0.129</v>
      </c>
      <c r="E110" s="1852">
        <v>0.126</v>
      </c>
      <c r="F110" s="1853">
        <v>0.13</v>
      </c>
    </row>
    <row r="111" spans="1:6" ht="14.25" thickBot="1">
      <c r="A111" s="1850" t="s">
        <v>1403</v>
      </c>
      <c r="B111" s="1854" t="s">
        <v>1069</v>
      </c>
      <c r="C111" s="1855">
        <v>0.11</v>
      </c>
      <c r="D111" s="1855">
        <v>0.11</v>
      </c>
      <c r="E111" s="1855">
        <v>9.9000000000000005E-2</v>
      </c>
      <c r="F111" s="1856">
        <v>0.128</v>
      </c>
    </row>
    <row r="112" spans="1:6" ht="14.25" thickBot="1">
      <c r="A112" s="1850" t="s">
        <v>1403</v>
      </c>
      <c r="B112" s="1854" t="s">
        <v>1083</v>
      </c>
      <c r="C112" s="1855">
        <v>0.125</v>
      </c>
      <c r="D112" s="1855">
        <v>0.125</v>
      </c>
      <c r="E112" s="1855">
        <v>0.12</v>
      </c>
      <c r="F112" s="1856">
        <v>0.125</v>
      </c>
    </row>
    <row r="113" spans="1:6" ht="14.25" thickBot="1">
      <c r="A113" s="1850" t="s">
        <v>1403</v>
      </c>
      <c r="B113" s="1854" t="s">
        <v>1096</v>
      </c>
      <c r="C113" s="1855">
        <v>0.13</v>
      </c>
      <c r="D113" s="1855">
        <v>0.13</v>
      </c>
      <c r="E113" s="1855">
        <v>0.13</v>
      </c>
      <c r="F113" s="1856">
        <v>0.13</v>
      </c>
    </row>
    <row r="114" spans="1:6" ht="14.25" thickBot="1">
      <c r="A114" s="1850" t="s">
        <v>1403</v>
      </c>
      <c r="B114" s="1854" t="s">
        <v>1110</v>
      </c>
      <c r="C114" s="1855">
        <v>0.123</v>
      </c>
      <c r="D114" s="1855">
        <v>0.123</v>
      </c>
      <c r="E114" s="1855">
        <v>0.12</v>
      </c>
      <c r="F114" s="1856">
        <v>0.13</v>
      </c>
    </row>
    <row r="115" spans="1:6" ht="14.25" thickBot="1">
      <c r="A115" s="1850" t="s">
        <v>1403</v>
      </c>
      <c r="B115" s="1854" t="s">
        <v>1121</v>
      </c>
      <c r="C115" s="1855">
        <v>0.125</v>
      </c>
      <c r="D115" s="1855">
        <v>0.125</v>
      </c>
      <c r="E115" s="1855">
        <v>0.11700000000000001</v>
      </c>
      <c r="F115" s="1856">
        <v>0.13</v>
      </c>
    </row>
    <row r="116" spans="1:6" ht="14.25" thickBot="1">
      <c r="A116" s="1850" t="s">
        <v>1403</v>
      </c>
      <c r="B116" s="1854" t="s">
        <v>1132</v>
      </c>
      <c r="C116" s="1855">
        <v>0.11700000000000001</v>
      </c>
      <c r="D116" s="1855">
        <v>0.11700000000000001</v>
      </c>
      <c r="E116" s="1855">
        <v>8.7999999999999995E-2</v>
      </c>
      <c r="F116" s="1856">
        <v>0.13</v>
      </c>
    </row>
    <row r="117" spans="1:6" ht="14.25" thickBot="1">
      <c r="A117" s="1850" t="s">
        <v>1403</v>
      </c>
      <c r="B117" s="1854" t="s">
        <v>1143</v>
      </c>
      <c r="C117" s="1855">
        <v>0.13</v>
      </c>
      <c r="D117" s="1855">
        <v>0.13</v>
      </c>
      <c r="E117" s="1855">
        <v>0.129</v>
      </c>
      <c r="F117" s="1856">
        <v>0.13</v>
      </c>
    </row>
    <row r="118" spans="1:6" ht="14.25" thickBot="1">
      <c r="A118" s="1850" t="s">
        <v>1403</v>
      </c>
      <c r="B118" s="1854" t="s">
        <v>1155</v>
      </c>
      <c r="C118" s="1855">
        <v>0.123</v>
      </c>
      <c r="D118" s="1855">
        <v>0.123</v>
      </c>
      <c r="E118" s="1855">
        <v>0.11600000000000001</v>
      </c>
      <c r="F118" s="1856">
        <v>0.13</v>
      </c>
    </row>
    <row r="119" spans="1:6" ht="14.25" thickBot="1">
      <c r="A119" s="1850" t="s">
        <v>1403</v>
      </c>
      <c r="B119" s="1854" t="s">
        <v>1165</v>
      </c>
      <c r="C119" s="1855">
        <v>0.127</v>
      </c>
      <c r="D119" s="1855">
        <v>0.127</v>
      </c>
      <c r="E119" s="1855">
        <v>0.124</v>
      </c>
      <c r="F119" s="1856">
        <v>0.13</v>
      </c>
    </row>
    <row r="120" spans="1:6" ht="14.25" thickBot="1">
      <c r="A120" s="1850" t="s">
        <v>1403</v>
      </c>
      <c r="B120" s="1854" t="s">
        <v>1175</v>
      </c>
      <c r="C120" s="1855">
        <v>0.125</v>
      </c>
      <c r="D120" s="1855">
        <v>0.125</v>
      </c>
      <c r="E120" s="1855">
        <v>0.122</v>
      </c>
      <c r="F120" s="1856">
        <v>0.13</v>
      </c>
    </row>
    <row r="121" spans="1:6" ht="14.25" thickBot="1">
      <c r="A121" s="1850" t="s">
        <v>1403</v>
      </c>
      <c r="B121" s="1854" t="s">
        <v>1185</v>
      </c>
      <c r="C121" s="1855">
        <v>0.13</v>
      </c>
      <c r="D121" s="1855">
        <v>0.13</v>
      </c>
      <c r="E121" s="1855">
        <v>0.13</v>
      </c>
      <c r="F121" s="1856">
        <v>0.13</v>
      </c>
    </row>
    <row r="122" spans="1:6" ht="14.25" thickBot="1">
      <c r="A122" s="1850" t="s">
        <v>1403</v>
      </c>
      <c r="B122" s="1854" t="s">
        <v>1195</v>
      </c>
      <c r="C122" s="1855">
        <v>0.13</v>
      </c>
      <c r="D122" s="1855">
        <v>0.13</v>
      </c>
      <c r="E122" s="1855">
        <v>0.125</v>
      </c>
      <c r="F122" s="1856">
        <v>0.13</v>
      </c>
    </row>
    <row r="123" spans="1:6" ht="14.25" thickBot="1">
      <c r="A123" s="1850" t="s">
        <v>1403</v>
      </c>
      <c r="B123" s="1854" t="s">
        <v>1205</v>
      </c>
      <c r="C123" s="1855">
        <v>0.129</v>
      </c>
      <c r="D123" s="1855">
        <v>0.129</v>
      </c>
      <c r="E123" s="1855">
        <v>0.123</v>
      </c>
      <c r="F123" s="1856">
        <v>0.13</v>
      </c>
    </row>
    <row r="124" spans="1:6" ht="14.25" thickBot="1">
      <c r="A124" s="1850" t="s">
        <v>1403</v>
      </c>
      <c r="B124" s="1854" t="s">
        <v>1215</v>
      </c>
      <c r="C124" s="1855">
        <v>0.10199999999999999</v>
      </c>
      <c r="D124" s="1855">
        <v>0.10100000000000001</v>
      </c>
      <c r="E124" s="1855">
        <v>0.08</v>
      </c>
      <c r="F124" s="1863"/>
    </row>
    <row r="125" spans="1:6" ht="14.25" thickBot="1">
      <c r="A125" s="1850" t="s">
        <v>1403</v>
      </c>
      <c r="B125" s="1854" t="s">
        <v>1225</v>
      </c>
      <c r="C125" s="1855">
        <v>0.13</v>
      </c>
      <c r="D125" s="1855">
        <v>0.13</v>
      </c>
      <c r="E125" s="1855">
        <v>0.129</v>
      </c>
      <c r="F125" s="1863"/>
    </row>
    <row r="126" spans="1:6" ht="14.25" thickBot="1">
      <c r="A126" s="1850" t="s">
        <v>1403</v>
      </c>
      <c r="B126" s="1854" t="s">
        <v>1235</v>
      </c>
      <c r="C126" s="1855">
        <v>0.13</v>
      </c>
      <c r="D126" s="1855">
        <v>0.13</v>
      </c>
      <c r="E126" s="1855">
        <v>0.126</v>
      </c>
      <c r="F126" s="1863"/>
    </row>
    <row r="127" spans="1:6" ht="14.25" thickBot="1">
      <c r="A127" s="1850" t="s">
        <v>1403</v>
      </c>
      <c r="B127" s="1854" t="s">
        <v>1245</v>
      </c>
      <c r="C127" s="1855">
        <v>0.125</v>
      </c>
      <c r="D127" s="1855">
        <v>0.125</v>
      </c>
      <c r="E127" s="1855">
        <v>0.121</v>
      </c>
      <c r="F127" s="1863"/>
    </row>
    <row r="128" spans="1:6" ht="14.25" thickBot="1">
      <c r="A128" s="1850" t="s">
        <v>1403</v>
      </c>
      <c r="B128" s="1854" t="s">
        <v>1255</v>
      </c>
      <c r="C128" s="1855">
        <v>0.12</v>
      </c>
      <c r="D128" s="1855">
        <v>0.12</v>
      </c>
      <c r="E128" s="1855">
        <v>0.105</v>
      </c>
      <c r="F128" s="1863"/>
    </row>
    <row r="129" spans="1:6" ht="14.25" thickBot="1">
      <c r="A129" s="1850" t="s">
        <v>1403</v>
      </c>
      <c r="B129" s="1854" t="s">
        <v>1264</v>
      </c>
      <c r="C129" s="1855">
        <v>0.13</v>
      </c>
      <c r="D129" s="1855">
        <v>0.13</v>
      </c>
      <c r="E129" s="1855">
        <v>0.126</v>
      </c>
      <c r="F129" s="1863"/>
    </row>
    <row r="130" spans="1:6" ht="14.25" thickBot="1">
      <c r="A130" s="1850" t="s">
        <v>1403</v>
      </c>
      <c r="B130" s="1854" t="s">
        <v>1273</v>
      </c>
      <c r="C130" s="1855">
        <v>0.125</v>
      </c>
      <c r="D130" s="1855">
        <v>0.125</v>
      </c>
      <c r="E130" s="1855">
        <v>0.122</v>
      </c>
      <c r="F130" s="1863"/>
    </row>
    <row r="131" spans="1:6" ht="14.25" thickBot="1">
      <c r="A131" s="1850" t="s">
        <v>1403</v>
      </c>
      <c r="B131" s="1854" t="s">
        <v>1281</v>
      </c>
      <c r="C131" s="1855">
        <v>0.127</v>
      </c>
      <c r="D131" s="1855">
        <v>0.126</v>
      </c>
      <c r="E131" s="1855">
        <v>0.123</v>
      </c>
      <c r="F131" s="1863"/>
    </row>
    <row r="132" spans="1:6" ht="14.25" thickBot="1">
      <c r="A132" s="1850" t="s">
        <v>1403</v>
      </c>
      <c r="B132" s="1854" t="s">
        <v>1288</v>
      </c>
      <c r="C132" s="1855">
        <v>9.0999999999999998E-2</v>
      </c>
      <c r="D132" s="1855">
        <v>0.121</v>
      </c>
      <c r="E132" s="1855">
        <v>9.9000000000000005E-2</v>
      </c>
      <c r="F132" s="1863"/>
    </row>
    <row r="133" spans="1:6" ht="14.25" thickBot="1">
      <c r="A133" s="1850" t="s">
        <v>1403</v>
      </c>
      <c r="B133" s="1854" t="s">
        <v>1295</v>
      </c>
      <c r="C133" s="1855">
        <v>0.13</v>
      </c>
      <c r="D133" s="1855">
        <v>0.13</v>
      </c>
      <c r="E133" s="1855">
        <v>0.129</v>
      </c>
      <c r="F133" s="1863"/>
    </row>
    <row r="134" spans="1:6" ht="14.25" thickBot="1">
      <c r="A134" s="1850" t="s">
        <v>1403</v>
      </c>
      <c r="B134" s="1854" t="s">
        <v>2102</v>
      </c>
      <c r="C134" s="1855">
        <v>6.8000000000000005E-2</v>
      </c>
      <c r="D134" s="1855">
        <v>6.5000000000000002E-2</v>
      </c>
      <c r="E134" s="1855">
        <v>6.5000000000000002E-2</v>
      </c>
      <c r="F134" s="1856">
        <v>0.13</v>
      </c>
    </row>
    <row r="135" spans="1:6" ht="14.25" thickBot="1">
      <c r="A135" s="1850" t="s">
        <v>1403</v>
      </c>
      <c r="B135" s="1854" t="s">
        <v>1309</v>
      </c>
      <c r="C135" s="1855">
        <v>0.123</v>
      </c>
      <c r="D135" s="1855">
        <v>0.123</v>
      </c>
      <c r="E135" s="1855">
        <v>0.11</v>
      </c>
      <c r="F135" s="1863"/>
    </row>
    <row r="136" spans="1:6" ht="14.25" thickBot="1">
      <c r="A136" s="1850" t="s">
        <v>1403</v>
      </c>
      <c r="B136" s="1854" t="s">
        <v>1316</v>
      </c>
      <c r="C136" s="1855">
        <v>0.13</v>
      </c>
      <c r="D136" s="1855">
        <v>0.13</v>
      </c>
      <c r="E136" s="1855">
        <v>0.125</v>
      </c>
      <c r="F136" s="1863"/>
    </row>
    <row r="137" spans="1:6" ht="14.25" thickBot="1">
      <c r="A137" s="1850" t="s">
        <v>1403</v>
      </c>
      <c r="B137" s="1854" t="s">
        <v>1323</v>
      </c>
      <c r="C137" s="1855">
        <v>0.121</v>
      </c>
      <c r="D137" s="1855">
        <v>0.122</v>
      </c>
      <c r="E137" s="1855">
        <v>0.115</v>
      </c>
      <c r="F137" s="1863"/>
    </row>
    <row r="138" spans="1:6" ht="14.25" thickBot="1">
      <c r="A138" s="1850" t="s">
        <v>1403</v>
      </c>
      <c r="B138" s="1854" t="s">
        <v>2103</v>
      </c>
      <c r="C138" s="1855">
        <v>0.105</v>
      </c>
      <c r="D138" s="1855">
        <v>0.125</v>
      </c>
      <c r="E138" s="1855">
        <v>0.112</v>
      </c>
      <c r="F138" s="1863"/>
    </row>
    <row r="139" spans="1:6" ht="14.25" thickBot="1">
      <c r="A139" s="1850" t="s">
        <v>1403</v>
      </c>
      <c r="B139" s="1854" t="s">
        <v>2104</v>
      </c>
      <c r="C139" s="1855">
        <v>0.127</v>
      </c>
      <c r="D139" s="1855">
        <v>0.127</v>
      </c>
      <c r="E139" s="1855">
        <v>0.122</v>
      </c>
      <c r="F139" s="1856">
        <v>0.13</v>
      </c>
    </row>
    <row r="140" spans="1:6" ht="14.25" thickBot="1">
      <c r="A140" s="1850" t="s">
        <v>1403</v>
      </c>
      <c r="B140" s="1854" t="s">
        <v>2105</v>
      </c>
      <c r="C140" s="1855">
        <v>0.125</v>
      </c>
      <c r="D140" s="1855">
        <v>0.125</v>
      </c>
      <c r="E140" s="1855">
        <v>0.11899999999999999</v>
      </c>
      <c r="F140" s="1856">
        <v>0.13</v>
      </c>
    </row>
    <row r="141" spans="1:6" ht="14.25" thickBot="1">
      <c r="A141" s="1850" t="s">
        <v>1403</v>
      </c>
      <c r="B141" s="1854" t="s">
        <v>1342</v>
      </c>
      <c r="C141" s="1855">
        <v>0.125</v>
      </c>
      <c r="D141" s="1855">
        <v>0.125</v>
      </c>
      <c r="E141" s="1855">
        <v>0.11700000000000001</v>
      </c>
      <c r="F141" s="1863"/>
    </row>
    <row r="142" spans="1:6" ht="14.25" thickBot="1">
      <c r="A142" s="1850" t="s">
        <v>1403</v>
      </c>
      <c r="B142" s="1854" t="s">
        <v>1347</v>
      </c>
      <c r="C142" s="1855">
        <v>0.125</v>
      </c>
      <c r="D142" s="1855">
        <v>0.125</v>
      </c>
      <c r="E142" s="1855">
        <v>0.115</v>
      </c>
      <c r="F142" s="1863"/>
    </row>
    <row r="143" spans="1:6" ht="14.25" thickBot="1">
      <c r="A143" s="1850" t="s">
        <v>1403</v>
      </c>
      <c r="B143" s="1854" t="s">
        <v>1352</v>
      </c>
      <c r="C143" s="1855">
        <v>0.121</v>
      </c>
      <c r="D143" s="1855">
        <v>0.121</v>
      </c>
      <c r="E143" s="1855">
        <v>0.108</v>
      </c>
      <c r="F143" s="1863"/>
    </row>
    <row r="144" spans="1:6" ht="14.25" thickBot="1">
      <c r="A144" s="1850" t="s">
        <v>1403</v>
      </c>
      <c r="B144" s="1867" t="s">
        <v>2106</v>
      </c>
      <c r="C144" s="1868">
        <v>0.126</v>
      </c>
      <c r="D144" s="1868">
        <v>0.126</v>
      </c>
      <c r="E144" s="1868">
        <v>0.121</v>
      </c>
      <c r="F144" s="1863"/>
    </row>
    <row r="145" spans="1:6" ht="14.25" thickBot="1">
      <c r="A145" s="1858" t="s">
        <v>1403</v>
      </c>
      <c r="B145" s="1869" t="s">
        <v>2107</v>
      </c>
      <c r="C145" s="1870"/>
      <c r="D145" s="1870"/>
      <c r="E145" s="1870"/>
      <c r="F145" s="1871">
        <v>0.05</v>
      </c>
    </row>
    <row r="146" spans="1:6" ht="24.75" thickBot="1">
      <c r="A146" s="1872" t="s">
        <v>1403</v>
      </c>
      <c r="B146" s="1857" t="s">
        <v>2108</v>
      </c>
      <c r="C146" s="1864"/>
      <c r="D146" s="1864"/>
      <c r="E146" s="1864"/>
      <c r="F146" s="1873">
        <v>0.05</v>
      </c>
    </row>
    <row r="147" spans="1:6" ht="24.75" thickBot="1">
      <c r="A147" s="1850" t="s">
        <v>1403</v>
      </c>
      <c r="B147" s="1854" t="s">
        <v>2109</v>
      </c>
      <c r="C147" s="1864"/>
      <c r="D147" s="1864"/>
      <c r="E147" s="1864"/>
      <c r="F147" s="1856">
        <v>0.05</v>
      </c>
    </row>
    <row r="148" spans="1:6" ht="24.75" thickBot="1">
      <c r="A148" s="1850" t="s">
        <v>1403</v>
      </c>
      <c r="B148" s="1854" t="s">
        <v>2110</v>
      </c>
      <c r="C148" s="1864"/>
      <c r="D148" s="1864"/>
      <c r="E148" s="1864"/>
      <c r="F148" s="1856">
        <v>0.05</v>
      </c>
    </row>
    <row r="149" spans="1:6" ht="24.75" thickBot="1">
      <c r="A149" s="1850" t="s">
        <v>1403</v>
      </c>
      <c r="B149" s="1854" t="s">
        <v>2111</v>
      </c>
      <c r="C149" s="1864"/>
      <c r="D149" s="1864"/>
      <c r="E149" s="1864"/>
      <c r="F149" s="1856">
        <v>0.05</v>
      </c>
    </row>
    <row r="150" spans="1:6" ht="24.75" thickBot="1">
      <c r="A150" s="1850" t="s">
        <v>1403</v>
      </c>
      <c r="B150" s="1854" t="s">
        <v>2112</v>
      </c>
      <c r="C150" s="1864"/>
      <c r="D150" s="1864"/>
      <c r="E150" s="1864"/>
      <c r="F150" s="1856">
        <v>0.05</v>
      </c>
    </row>
    <row r="151" spans="1:6" ht="24.75" thickBot="1">
      <c r="A151" s="1850" t="s">
        <v>1403</v>
      </c>
      <c r="B151" s="1854" t="s">
        <v>2113</v>
      </c>
      <c r="C151" s="1864"/>
      <c r="D151" s="1864"/>
      <c r="E151" s="1864"/>
      <c r="F151" s="1856">
        <v>0.05</v>
      </c>
    </row>
    <row r="152" spans="1:6" ht="24.75" thickBot="1">
      <c r="A152" s="1850" t="s">
        <v>1403</v>
      </c>
      <c r="B152" s="1854" t="s">
        <v>1385</v>
      </c>
      <c r="C152" s="1864"/>
      <c r="D152" s="1864"/>
      <c r="E152" s="1864"/>
      <c r="F152" s="1856">
        <v>0.05</v>
      </c>
    </row>
    <row r="153" spans="1:6" ht="14.25" thickBot="1">
      <c r="A153" s="1850" t="s">
        <v>1403</v>
      </c>
      <c r="B153" s="1854" t="s">
        <v>2114</v>
      </c>
      <c r="C153" s="1864"/>
      <c r="D153" s="1864"/>
      <c r="E153" s="1864"/>
      <c r="F153" s="1856">
        <v>0.05</v>
      </c>
    </row>
    <row r="154" spans="1:6" ht="14.25" thickBot="1">
      <c r="A154" s="1850" t="s">
        <v>1403</v>
      </c>
      <c r="B154" s="1854" t="s">
        <v>2115</v>
      </c>
      <c r="C154" s="1864"/>
      <c r="D154" s="1864"/>
      <c r="E154" s="1864"/>
      <c r="F154" s="1856">
        <v>0.05</v>
      </c>
    </row>
    <row r="155" spans="1:6" ht="24.75" thickBot="1">
      <c r="A155" s="1850" t="s">
        <v>1403</v>
      </c>
      <c r="B155" s="1854" t="s">
        <v>2116</v>
      </c>
      <c r="C155" s="1864"/>
      <c r="D155" s="1864"/>
      <c r="E155" s="1864"/>
      <c r="F155" s="1856">
        <v>0.05</v>
      </c>
    </row>
    <row r="156" spans="1:6" ht="24.75" thickBot="1">
      <c r="A156" s="1850" t="s">
        <v>1403</v>
      </c>
      <c r="B156" s="1854" t="s">
        <v>2117</v>
      </c>
      <c r="C156" s="1864"/>
      <c r="D156" s="1864"/>
      <c r="E156" s="1864"/>
      <c r="F156" s="1856">
        <v>0.05</v>
      </c>
    </row>
    <row r="157" spans="1:6" ht="14.25" thickBot="1">
      <c r="A157" s="1858" t="s">
        <v>1403</v>
      </c>
      <c r="B157" s="1865" t="s">
        <v>2118</v>
      </c>
      <c r="C157" s="1861"/>
      <c r="D157" s="1861"/>
      <c r="E157" s="1861"/>
      <c r="F157" s="1866">
        <v>0.05</v>
      </c>
    </row>
    <row r="158" spans="1:6" ht="14.25" thickBot="1">
      <c r="A158" s="1850" t="s">
        <v>1405</v>
      </c>
      <c r="B158" s="1851" t="s">
        <v>2119</v>
      </c>
      <c r="C158" s="1852">
        <v>0.13</v>
      </c>
      <c r="D158" s="1852">
        <v>0.13</v>
      </c>
      <c r="E158" s="1852">
        <v>0.13</v>
      </c>
      <c r="F158" s="1853">
        <v>0.13</v>
      </c>
    </row>
    <row r="159" spans="1:6" ht="14.25" thickBot="1">
      <c r="A159" s="1850" t="s">
        <v>1405</v>
      </c>
      <c r="B159" s="1854" t="s">
        <v>1070</v>
      </c>
      <c r="C159" s="1855">
        <v>0.13</v>
      </c>
      <c r="D159" s="1855">
        <v>0.13</v>
      </c>
      <c r="E159" s="1855">
        <v>0.13</v>
      </c>
      <c r="F159" s="1856">
        <v>0.13</v>
      </c>
    </row>
    <row r="160" spans="1:6" ht="14.25" thickBot="1">
      <c r="A160" s="1850" t="s">
        <v>1405</v>
      </c>
      <c r="B160" s="1854" t="s">
        <v>1084</v>
      </c>
      <c r="C160" s="1855">
        <v>0.13</v>
      </c>
      <c r="D160" s="1855">
        <v>0.13</v>
      </c>
      <c r="E160" s="1855">
        <v>0.129</v>
      </c>
      <c r="F160" s="1856">
        <v>0.13</v>
      </c>
    </row>
    <row r="161" spans="1:6" ht="14.25" thickBot="1">
      <c r="A161" s="1850" t="s">
        <v>1405</v>
      </c>
      <c r="B161" s="1854" t="s">
        <v>1097</v>
      </c>
      <c r="C161" s="1855">
        <v>0.128</v>
      </c>
      <c r="D161" s="1855">
        <v>0.128</v>
      </c>
      <c r="E161" s="1855">
        <v>0.125</v>
      </c>
      <c r="F161" s="1856">
        <v>0.13</v>
      </c>
    </row>
    <row r="162" spans="1:6" ht="14.25" thickBot="1">
      <c r="A162" s="1850" t="s">
        <v>1405</v>
      </c>
      <c r="B162" s="1854" t="s">
        <v>1111</v>
      </c>
      <c r="C162" s="1855">
        <v>0.122</v>
      </c>
      <c r="D162" s="1855">
        <v>0.122</v>
      </c>
      <c r="E162" s="1855">
        <v>0.126</v>
      </c>
      <c r="F162" s="1856">
        <v>0.122</v>
      </c>
    </row>
    <row r="163" spans="1:6" ht="14.25" thickBot="1">
      <c r="A163" s="1850" t="s">
        <v>1405</v>
      </c>
      <c r="B163" s="1854" t="s">
        <v>1122</v>
      </c>
      <c r="C163" s="1855">
        <v>0.13</v>
      </c>
      <c r="D163" s="1855">
        <v>0.13</v>
      </c>
      <c r="E163" s="1855">
        <v>0.125</v>
      </c>
      <c r="F163" s="1856">
        <v>0.13</v>
      </c>
    </row>
    <row r="164" spans="1:6" ht="14.25" thickBot="1">
      <c r="A164" s="1850" t="s">
        <v>1405</v>
      </c>
      <c r="B164" s="1854" t="s">
        <v>1133</v>
      </c>
      <c r="C164" s="1855">
        <v>0.13</v>
      </c>
      <c r="D164" s="1855">
        <v>0.13</v>
      </c>
      <c r="E164" s="1855">
        <v>0.13</v>
      </c>
      <c r="F164" s="1856">
        <v>0.13</v>
      </c>
    </row>
    <row r="165" spans="1:6" ht="14.25" thickBot="1">
      <c r="A165" s="1850" t="s">
        <v>1405</v>
      </c>
      <c r="B165" s="1854" t="s">
        <v>1144</v>
      </c>
      <c r="C165" s="1855">
        <v>0.13</v>
      </c>
      <c r="D165" s="1855">
        <v>0.13</v>
      </c>
      <c r="E165" s="1855">
        <v>0.124</v>
      </c>
      <c r="F165" s="1856">
        <v>0.13</v>
      </c>
    </row>
    <row r="166" spans="1:6" ht="14.25" thickBot="1">
      <c r="A166" s="1850" t="s">
        <v>1405</v>
      </c>
      <c r="B166" s="1854" t="s">
        <v>1156</v>
      </c>
      <c r="C166" s="1855">
        <v>0.13</v>
      </c>
      <c r="D166" s="1855">
        <v>0.13</v>
      </c>
      <c r="E166" s="1855">
        <v>0.13</v>
      </c>
      <c r="F166" s="1856">
        <v>0.13</v>
      </c>
    </row>
    <row r="167" spans="1:6" ht="14.25" thickBot="1">
      <c r="A167" s="1850" t="s">
        <v>1405</v>
      </c>
      <c r="B167" s="1854" t="s">
        <v>1166</v>
      </c>
      <c r="C167" s="1855">
        <v>0.125</v>
      </c>
      <c r="D167" s="1855">
        <v>0.125</v>
      </c>
      <c r="E167" s="1855">
        <v>0.121</v>
      </c>
      <c r="F167" s="1863"/>
    </row>
    <row r="168" spans="1:6" ht="14.25" thickBot="1">
      <c r="A168" s="1850" t="s">
        <v>1405</v>
      </c>
      <c r="B168" s="1854" t="s">
        <v>1176</v>
      </c>
      <c r="C168" s="1855">
        <v>0.13</v>
      </c>
      <c r="D168" s="1855">
        <v>0.13</v>
      </c>
      <c r="E168" s="1855">
        <v>0.126</v>
      </c>
      <c r="F168" s="1863"/>
    </row>
    <row r="169" spans="1:6" ht="14.25" thickBot="1">
      <c r="A169" s="1850" t="s">
        <v>1405</v>
      </c>
      <c r="B169" s="1854" t="s">
        <v>1186</v>
      </c>
      <c r="C169" s="1855">
        <v>0.128</v>
      </c>
      <c r="D169" s="1855">
        <v>0.129</v>
      </c>
      <c r="E169" s="1855">
        <v>0.13</v>
      </c>
      <c r="F169" s="1863"/>
    </row>
    <row r="170" spans="1:6" ht="14.25" thickBot="1">
      <c r="A170" s="1850" t="s">
        <v>1405</v>
      </c>
      <c r="B170" s="1854" t="s">
        <v>1196</v>
      </c>
      <c r="C170" s="1855">
        <v>0.14099999999999999</v>
      </c>
      <c r="D170" s="1855">
        <v>0.13</v>
      </c>
      <c r="E170" s="1855">
        <v>0.125</v>
      </c>
      <c r="F170" s="1863"/>
    </row>
    <row r="171" spans="1:6" ht="14.25" thickBot="1">
      <c r="A171" s="1850" t="s">
        <v>1405</v>
      </c>
      <c r="B171" s="1854" t="s">
        <v>2120</v>
      </c>
      <c r="C171" s="1855">
        <v>0.127</v>
      </c>
      <c r="D171" s="1855">
        <v>0.126</v>
      </c>
      <c r="E171" s="1855">
        <v>0.126</v>
      </c>
      <c r="F171" s="1856">
        <v>0.11799999999999999</v>
      </c>
    </row>
    <row r="172" spans="1:6" ht="14.25" thickBot="1">
      <c r="A172" s="1850" t="s">
        <v>1405</v>
      </c>
      <c r="B172" s="1854" t="s">
        <v>2121</v>
      </c>
      <c r="C172" s="1855">
        <v>0.13</v>
      </c>
      <c r="D172" s="1855">
        <v>0.13</v>
      </c>
      <c r="E172" s="1855">
        <v>0.13</v>
      </c>
      <c r="F172" s="1863"/>
    </row>
    <row r="173" spans="1:6" ht="14.25" thickBot="1">
      <c r="A173" s="1850" t="s">
        <v>1405</v>
      </c>
      <c r="B173" s="1854" t="s">
        <v>1226</v>
      </c>
      <c r="C173" s="1855">
        <v>0.13</v>
      </c>
      <c r="D173" s="1855">
        <v>0.13</v>
      </c>
      <c r="E173" s="1855">
        <v>0.13</v>
      </c>
      <c r="F173" s="1863"/>
    </row>
    <row r="174" spans="1:6" ht="14.25" thickBot="1">
      <c r="A174" s="1850" t="s">
        <v>1405</v>
      </c>
      <c r="B174" s="1854" t="s">
        <v>2122</v>
      </c>
      <c r="C174" s="1855">
        <v>0.13</v>
      </c>
      <c r="D174" s="1855">
        <v>0.13</v>
      </c>
      <c r="E174" s="1855">
        <v>0.13</v>
      </c>
      <c r="F174" s="1856">
        <v>0.13</v>
      </c>
    </row>
    <row r="175" spans="1:6" ht="14.25" thickBot="1">
      <c r="A175" s="1850" t="s">
        <v>1405</v>
      </c>
      <c r="B175" s="1854" t="s">
        <v>2123</v>
      </c>
      <c r="C175" s="1855">
        <v>0.13</v>
      </c>
      <c r="D175" s="1855">
        <v>0.13</v>
      </c>
      <c r="E175" s="1855">
        <v>0.13</v>
      </c>
      <c r="F175" s="1856">
        <v>0.13</v>
      </c>
    </row>
    <row r="176" spans="1:6" ht="14.25" thickBot="1">
      <c r="A176" s="1850" t="s">
        <v>1405</v>
      </c>
      <c r="B176" s="1854" t="s">
        <v>1256</v>
      </c>
      <c r="C176" s="1855">
        <v>0.13</v>
      </c>
      <c r="D176" s="1855">
        <v>0.13</v>
      </c>
      <c r="E176" s="1855">
        <v>0.13</v>
      </c>
      <c r="F176" s="1856">
        <v>0.13</v>
      </c>
    </row>
    <row r="177" spans="1:6" ht="14.25" thickBot="1">
      <c r="A177" s="1850" t="s">
        <v>1405</v>
      </c>
      <c r="B177" s="1854" t="s">
        <v>2124</v>
      </c>
      <c r="C177" s="1855">
        <v>0.13</v>
      </c>
      <c r="D177" s="1855">
        <v>0.13</v>
      </c>
      <c r="E177" s="1855">
        <v>0.13</v>
      </c>
      <c r="F177" s="1856">
        <v>0.13</v>
      </c>
    </row>
    <row r="178" spans="1:6" ht="14.25" thickBot="1">
      <c r="A178" s="1850" t="s">
        <v>1405</v>
      </c>
      <c r="B178" s="1854" t="s">
        <v>1274</v>
      </c>
      <c r="C178" s="1855">
        <v>0.13</v>
      </c>
      <c r="D178" s="1855">
        <v>0.13</v>
      </c>
      <c r="E178" s="1855">
        <v>0.13</v>
      </c>
      <c r="F178" s="1856">
        <v>0.127</v>
      </c>
    </row>
    <row r="179" spans="1:6" ht="14.25" thickBot="1">
      <c r="A179" s="1850" t="s">
        <v>1405</v>
      </c>
      <c r="B179" s="1854" t="s">
        <v>1282</v>
      </c>
      <c r="C179" s="1855">
        <v>0.13</v>
      </c>
      <c r="D179" s="1855">
        <v>0.13</v>
      </c>
      <c r="E179" s="1855">
        <v>0.13</v>
      </c>
      <c r="F179" s="1863"/>
    </row>
    <row r="180" spans="1:6" ht="14.25" thickBot="1">
      <c r="A180" s="1850" t="s">
        <v>1405</v>
      </c>
      <c r="B180" s="1854" t="s">
        <v>2125</v>
      </c>
      <c r="C180" s="1855">
        <v>0.13</v>
      </c>
      <c r="D180" s="1855">
        <v>0.13</v>
      </c>
      <c r="E180" s="1855">
        <v>0.125</v>
      </c>
      <c r="F180" s="1856">
        <v>0.13</v>
      </c>
    </row>
    <row r="181" spans="1:6" ht="14.25" thickBot="1">
      <c r="A181" s="1850" t="s">
        <v>1405</v>
      </c>
      <c r="B181" s="1854" t="s">
        <v>1296</v>
      </c>
      <c r="C181" s="1855">
        <v>0.122</v>
      </c>
      <c r="D181" s="1855">
        <v>0.123</v>
      </c>
      <c r="E181" s="1855">
        <v>0.126</v>
      </c>
      <c r="F181" s="1856">
        <v>0.121</v>
      </c>
    </row>
    <row r="182" spans="1:6" ht="14.25" thickBot="1">
      <c r="A182" s="1850" t="s">
        <v>1405</v>
      </c>
      <c r="B182" s="1854" t="s">
        <v>1303</v>
      </c>
      <c r="C182" s="1855">
        <v>0.125</v>
      </c>
      <c r="D182" s="1855">
        <v>0.125</v>
      </c>
      <c r="E182" s="1855">
        <v>0.11700000000000001</v>
      </c>
      <c r="F182" s="1856">
        <v>0.13</v>
      </c>
    </row>
    <row r="183" spans="1:6" ht="14.25" thickBot="1">
      <c r="A183" s="1850" t="s">
        <v>1405</v>
      </c>
      <c r="B183" s="1854" t="s">
        <v>1310</v>
      </c>
      <c r="C183" s="1855">
        <v>0.127</v>
      </c>
      <c r="D183" s="1855">
        <v>0.127</v>
      </c>
      <c r="E183" s="1855">
        <v>0.128</v>
      </c>
      <c r="F183" s="1863"/>
    </row>
    <row r="184" spans="1:6" ht="14.25" thickBot="1">
      <c r="A184" s="1850" t="s">
        <v>1405</v>
      </c>
      <c r="B184" s="1854" t="s">
        <v>1317</v>
      </c>
      <c r="C184" s="1855">
        <v>0.125</v>
      </c>
      <c r="D184" s="1855">
        <v>0.125</v>
      </c>
      <c r="E184" s="1855">
        <v>0.127</v>
      </c>
      <c r="F184" s="1863"/>
    </row>
    <row r="185" spans="1:6" ht="14.25" thickBot="1">
      <c r="A185" s="1850" t="s">
        <v>1405</v>
      </c>
      <c r="B185" s="1854" t="s">
        <v>2126</v>
      </c>
      <c r="C185" s="1855">
        <v>0.127</v>
      </c>
      <c r="D185" s="1855">
        <v>0.127</v>
      </c>
      <c r="E185" s="1855">
        <v>0.128</v>
      </c>
      <c r="F185" s="1856">
        <v>0.13</v>
      </c>
    </row>
    <row r="186" spans="1:6" ht="24.75" thickBot="1">
      <c r="A186" s="1850" t="s">
        <v>1405</v>
      </c>
      <c r="B186" s="1854" t="s">
        <v>2127</v>
      </c>
      <c r="C186" s="1864"/>
      <c r="D186" s="1864"/>
      <c r="E186" s="1864"/>
      <c r="F186" s="1856">
        <v>0.05</v>
      </c>
    </row>
    <row r="187" spans="1:6" ht="14.25" thickBot="1">
      <c r="A187" s="1850" t="s">
        <v>1405</v>
      </c>
      <c r="B187" s="1854" t="s">
        <v>2128</v>
      </c>
      <c r="C187" s="1864"/>
      <c r="D187" s="1864"/>
      <c r="E187" s="1864"/>
      <c r="F187" s="1856">
        <v>0.05</v>
      </c>
    </row>
    <row r="188" spans="1:6" ht="14.25" thickBot="1">
      <c r="A188" s="1850" t="s">
        <v>1405</v>
      </c>
      <c r="B188" s="1854" t="s">
        <v>2129</v>
      </c>
      <c r="C188" s="1864"/>
      <c r="D188" s="1864"/>
      <c r="E188" s="1864"/>
      <c r="F188" s="1856">
        <v>0.05</v>
      </c>
    </row>
    <row r="189" spans="1:6" ht="24.75" thickBot="1">
      <c r="A189" s="1850" t="s">
        <v>1405</v>
      </c>
      <c r="B189" s="1854" t="s">
        <v>2130</v>
      </c>
      <c r="C189" s="1864"/>
      <c r="D189" s="1864"/>
      <c r="E189" s="1864"/>
      <c r="F189" s="1856">
        <v>0.05</v>
      </c>
    </row>
    <row r="190" spans="1:6" ht="24.75" thickBot="1">
      <c r="A190" s="1850" t="s">
        <v>1405</v>
      </c>
      <c r="B190" s="1854" t="s">
        <v>2131</v>
      </c>
      <c r="C190" s="1864"/>
      <c r="D190" s="1864"/>
      <c r="E190" s="1864"/>
      <c r="F190" s="1856">
        <v>0.05</v>
      </c>
    </row>
    <row r="191" spans="1:6" ht="24.75" thickBot="1">
      <c r="A191" s="1850" t="s">
        <v>1405</v>
      </c>
      <c r="B191" s="1854" t="s">
        <v>2132</v>
      </c>
      <c r="C191" s="1864"/>
      <c r="D191" s="1864"/>
      <c r="E191" s="1864"/>
      <c r="F191" s="1856">
        <v>0.05</v>
      </c>
    </row>
    <row r="192" spans="1:6" ht="24.75" thickBot="1">
      <c r="A192" s="1850" t="s">
        <v>1405</v>
      </c>
      <c r="B192" s="1854" t="s">
        <v>2133</v>
      </c>
      <c r="C192" s="1864"/>
      <c r="D192" s="1864"/>
      <c r="E192" s="1864"/>
      <c r="F192" s="1856">
        <v>0.05</v>
      </c>
    </row>
    <row r="193" spans="1:6" ht="24.75" thickBot="1">
      <c r="A193" s="1850" t="s">
        <v>1405</v>
      </c>
      <c r="B193" s="1854" t="s">
        <v>2134</v>
      </c>
      <c r="C193" s="1864"/>
      <c r="D193" s="1864"/>
      <c r="E193" s="1864"/>
      <c r="F193" s="1856">
        <v>0.05</v>
      </c>
    </row>
    <row r="194" spans="1:6" ht="24.75" thickBot="1">
      <c r="A194" s="1850" t="s">
        <v>1405</v>
      </c>
      <c r="B194" s="1854" t="s">
        <v>2135</v>
      </c>
      <c r="C194" s="1864"/>
      <c r="D194" s="1864"/>
      <c r="E194" s="1864"/>
      <c r="F194" s="1856">
        <v>0.05</v>
      </c>
    </row>
    <row r="195" spans="1:6" ht="14.25" thickBot="1">
      <c r="A195" s="1850" t="s">
        <v>1405</v>
      </c>
      <c r="B195" s="1854" t="s">
        <v>2136</v>
      </c>
      <c r="C195" s="1864"/>
      <c r="D195" s="1864"/>
      <c r="E195" s="1864"/>
      <c r="F195" s="1856">
        <v>0.05</v>
      </c>
    </row>
    <row r="196" spans="1:6" ht="24.75" thickBot="1">
      <c r="A196" s="1850" t="s">
        <v>1405</v>
      </c>
      <c r="B196" s="1854" t="s">
        <v>2137</v>
      </c>
      <c r="C196" s="1864"/>
      <c r="D196" s="1864"/>
      <c r="E196" s="1864"/>
      <c r="F196" s="1856">
        <v>0.05</v>
      </c>
    </row>
    <row r="197" spans="1:6" ht="24.75" thickBot="1">
      <c r="A197" s="1850" t="s">
        <v>1405</v>
      </c>
      <c r="B197" s="1854" t="s">
        <v>2138</v>
      </c>
      <c r="C197" s="1864"/>
      <c r="D197" s="1864"/>
      <c r="E197" s="1864"/>
      <c r="F197" s="1856">
        <v>0.05</v>
      </c>
    </row>
    <row r="198" spans="1:6" ht="24.75" thickBot="1">
      <c r="A198" s="1850" t="s">
        <v>1405</v>
      </c>
      <c r="B198" s="1854" t="s">
        <v>2139</v>
      </c>
      <c r="C198" s="1864"/>
      <c r="D198" s="1864"/>
      <c r="E198" s="1864"/>
      <c r="F198" s="1856">
        <v>0.05</v>
      </c>
    </row>
    <row r="199" spans="1:6" ht="24.75" thickBot="1">
      <c r="A199" s="1850" t="s">
        <v>1405</v>
      </c>
      <c r="B199" s="1854" t="s">
        <v>2140</v>
      </c>
      <c r="C199" s="1864"/>
      <c r="D199" s="1864"/>
      <c r="E199" s="1864"/>
      <c r="F199" s="1856">
        <v>0.05</v>
      </c>
    </row>
    <row r="200" spans="1:6" ht="24.75" thickBot="1">
      <c r="A200" s="1850" t="s">
        <v>1405</v>
      </c>
      <c r="B200" s="1854" t="s">
        <v>2141</v>
      </c>
      <c r="C200" s="1864"/>
      <c r="D200" s="1864"/>
      <c r="E200" s="1864"/>
      <c r="F200" s="1856">
        <v>0.05</v>
      </c>
    </row>
    <row r="201" spans="1:6" ht="24.75" thickBot="1">
      <c r="A201" s="1850" t="s">
        <v>1405</v>
      </c>
      <c r="B201" s="1854" t="s">
        <v>2142</v>
      </c>
      <c r="C201" s="1864"/>
      <c r="D201" s="1864"/>
      <c r="E201" s="1864"/>
      <c r="F201" s="1856">
        <v>0.05</v>
      </c>
    </row>
    <row r="202" spans="1:6" ht="24.75" thickBot="1">
      <c r="A202" s="1850" t="s">
        <v>1405</v>
      </c>
      <c r="B202" s="1854" t="s">
        <v>2143</v>
      </c>
      <c r="C202" s="1864"/>
      <c r="D202" s="1864"/>
      <c r="E202" s="1864"/>
      <c r="F202" s="1856">
        <v>0.05</v>
      </c>
    </row>
    <row r="203" spans="1:6" ht="24.75" thickBot="1">
      <c r="A203" s="1850" t="s">
        <v>1405</v>
      </c>
      <c r="B203" s="1854" t="s">
        <v>2144</v>
      </c>
      <c r="C203" s="1864"/>
      <c r="D203" s="1864"/>
      <c r="E203" s="1864"/>
      <c r="F203" s="1856">
        <v>0.05</v>
      </c>
    </row>
    <row r="204" spans="1:6" ht="14.25" thickBot="1">
      <c r="A204" s="1850" t="s">
        <v>1405</v>
      </c>
      <c r="B204" s="1854" t="s">
        <v>2145</v>
      </c>
      <c r="C204" s="1864"/>
      <c r="D204" s="1864"/>
      <c r="E204" s="1864"/>
      <c r="F204" s="1856">
        <v>0.05</v>
      </c>
    </row>
    <row r="205" spans="1:6" ht="14.25" thickBot="1">
      <c r="A205" s="1858" t="s">
        <v>1405</v>
      </c>
      <c r="B205" s="1865" t="s">
        <v>2146</v>
      </c>
      <c r="C205" s="1861"/>
      <c r="D205" s="1861"/>
      <c r="E205" s="1861"/>
      <c r="F205" s="1866">
        <v>0.05</v>
      </c>
    </row>
    <row r="206" spans="1:6" ht="14.25" thickBot="1">
      <c r="A206" s="1850" t="s">
        <v>1407</v>
      </c>
      <c r="B206" s="1851" t="s">
        <v>2147</v>
      </c>
      <c r="C206" s="1852">
        <v>0.15</v>
      </c>
      <c r="D206" s="1852">
        <v>0.15</v>
      </c>
      <c r="E206" s="1852">
        <v>0.15</v>
      </c>
      <c r="F206" s="1853">
        <v>0.15</v>
      </c>
    </row>
    <row r="207" spans="1:6" ht="14.25" thickBot="1">
      <c r="A207" s="1850" t="s">
        <v>1407</v>
      </c>
      <c r="B207" s="1854" t="s">
        <v>1071</v>
      </c>
      <c r="C207" s="1855">
        <v>0.15</v>
      </c>
      <c r="D207" s="1855">
        <v>0.15</v>
      </c>
      <c r="E207" s="1855">
        <v>0.15</v>
      </c>
      <c r="F207" s="1856">
        <v>0.14399999999999999</v>
      </c>
    </row>
    <row r="208" spans="1:6" ht="14.25" thickBot="1">
      <c r="A208" s="1850" t="s">
        <v>1407</v>
      </c>
      <c r="B208" s="1854" t="s">
        <v>1085</v>
      </c>
      <c r="C208" s="1855">
        <v>0.15</v>
      </c>
      <c r="D208" s="1855">
        <v>0.15</v>
      </c>
      <c r="E208" s="1855">
        <v>0.15</v>
      </c>
      <c r="F208" s="1856">
        <v>0.15</v>
      </c>
    </row>
    <row r="209" spans="1:6" ht="14.25" thickBot="1">
      <c r="A209" s="1850" t="s">
        <v>1407</v>
      </c>
      <c r="B209" s="1854" t="s">
        <v>1098</v>
      </c>
      <c r="C209" s="1855">
        <v>0.13700000000000001</v>
      </c>
      <c r="D209" s="1855">
        <v>0.13700000000000001</v>
      </c>
      <c r="E209" s="1855">
        <v>0.14000000000000001</v>
      </c>
      <c r="F209" s="1856">
        <v>0.11700000000000001</v>
      </c>
    </row>
    <row r="210" spans="1:6" ht="14.25" thickBot="1">
      <c r="A210" s="1850" t="s">
        <v>1407</v>
      </c>
      <c r="B210" s="1854" t="s">
        <v>2148</v>
      </c>
      <c r="C210" s="1855">
        <v>0.15</v>
      </c>
      <c r="D210" s="1855">
        <v>0.15</v>
      </c>
      <c r="E210" s="1855">
        <v>0.15</v>
      </c>
      <c r="F210" s="1856">
        <v>0.13800000000000001</v>
      </c>
    </row>
    <row r="211" spans="1:6" ht="14.25" thickBot="1">
      <c r="A211" s="1850" t="s">
        <v>1407</v>
      </c>
      <c r="B211" s="1854" t="s">
        <v>2149</v>
      </c>
      <c r="C211" s="1855">
        <v>0.13700000000000001</v>
      </c>
      <c r="D211" s="1855">
        <v>0.13500000000000001</v>
      </c>
      <c r="E211" s="1855">
        <v>0.13600000000000001</v>
      </c>
      <c r="F211" s="1856">
        <v>0.1</v>
      </c>
    </row>
    <row r="212" spans="1:6" ht="14.25" thickBot="1">
      <c r="A212" s="1850" t="s">
        <v>1407</v>
      </c>
      <c r="B212" s="1854" t="s">
        <v>2150</v>
      </c>
      <c r="C212" s="1855">
        <v>0.15</v>
      </c>
      <c r="D212" s="1855">
        <v>0.15</v>
      </c>
      <c r="E212" s="1855">
        <v>0.14799999999999999</v>
      </c>
      <c r="F212" s="1856">
        <v>0.13600000000000001</v>
      </c>
    </row>
    <row r="213" spans="1:6" ht="14.25" thickBot="1">
      <c r="A213" s="1850" t="s">
        <v>1407</v>
      </c>
      <c r="B213" s="1854" t="s">
        <v>1145</v>
      </c>
      <c r="C213" s="1855">
        <v>0.15</v>
      </c>
      <c r="D213" s="1855">
        <v>0.15</v>
      </c>
      <c r="E213" s="1855">
        <v>0.15</v>
      </c>
      <c r="F213" s="1856">
        <v>0.13800000000000001</v>
      </c>
    </row>
    <row r="214" spans="1:6" ht="14.25" thickBot="1">
      <c r="A214" s="1850" t="s">
        <v>1407</v>
      </c>
      <c r="B214" s="1854" t="s">
        <v>1157</v>
      </c>
      <c r="C214" s="1855">
        <v>9.0999999999999998E-2</v>
      </c>
      <c r="D214" s="1855">
        <v>0.09</v>
      </c>
      <c r="E214" s="1855">
        <v>9.1999999999999998E-2</v>
      </c>
      <c r="F214" s="1863"/>
    </row>
    <row r="215" spans="1:6" ht="14.25" thickBot="1">
      <c r="A215" s="1850" t="s">
        <v>1407</v>
      </c>
      <c r="B215" s="1854" t="s">
        <v>2151</v>
      </c>
      <c r="C215" s="1855">
        <v>0.15</v>
      </c>
      <c r="D215" s="1855">
        <v>0.15</v>
      </c>
      <c r="E215" s="1855">
        <v>0.15</v>
      </c>
      <c r="F215" s="1856">
        <v>0.15</v>
      </c>
    </row>
    <row r="216" spans="1:6" ht="14.25" thickBot="1">
      <c r="A216" s="1850" t="s">
        <v>1407</v>
      </c>
      <c r="B216" s="1854" t="s">
        <v>1177</v>
      </c>
      <c r="C216" s="1855">
        <v>0.14699999999999999</v>
      </c>
      <c r="D216" s="1855">
        <v>0.14699999999999999</v>
      </c>
      <c r="E216" s="1855">
        <v>0.15</v>
      </c>
      <c r="F216" s="1856">
        <v>0.14000000000000001</v>
      </c>
    </row>
    <row r="217" spans="1:6" ht="14.25" thickBot="1">
      <c r="A217" s="1850" t="s">
        <v>1407</v>
      </c>
      <c r="B217" s="1854" t="s">
        <v>1187</v>
      </c>
      <c r="C217" s="1855">
        <v>0.15</v>
      </c>
      <c r="D217" s="1855">
        <v>0.15</v>
      </c>
      <c r="E217" s="1855">
        <v>0.15</v>
      </c>
      <c r="F217" s="1856">
        <v>0.15</v>
      </c>
    </row>
    <row r="218" spans="1:6" ht="14.25" thickBot="1">
      <c r="A218" s="1850" t="s">
        <v>1407</v>
      </c>
      <c r="B218" s="1854" t="s">
        <v>2152</v>
      </c>
      <c r="C218" s="1855">
        <v>0.15</v>
      </c>
      <c r="D218" s="1855">
        <v>0.15</v>
      </c>
      <c r="E218" s="1855">
        <v>0.15</v>
      </c>
      <c r="F218" s="1856">
        <v>0.15</v>
      </c>
    </row>
    <row r="219" spans="1:6" ht="14.25" thickBot="1">
      <c r="A219" s="1850" t="s">
        <v>1407</v>
      </c>
      <c r="B219" s="1854" t="s">
        <v>1207</v>
      </c>
      <c r="C219" s="1855">
        <v>0.15</v>
      </c>
      <c r="D219" s="1855">
        <v>0.15</v>
      </c>
      <c r="E219" s="1855">
        <v>0.15</v>
      </c>
      <c r="F219" s="1856">
        <v>0.14799999999999999</v>
      </c>
    </row>
    <row r="220" spans="1:6" ht="14.25" thickBot="1">
      <c r="A220" s="1850" t="s">
        <v>1407</v>
      </c>
      <c r="B220" s="1854" t="s">
        <v>2153</v>
      </c>
      <c r="C220" s="1855">
        <v>0.15</v>
      </c>
      <c r="D220" s="1855">
        <v>0.15</v>
      </c>
      <c r="E220" s="1855">
        <v>0.15</v>
      </c>
      <c r="F220" s="1856">
        <v>0.15</v>
      </c>
    </row>
    <row r="221" spans="1:6" ht="14.25" thickBot="1">
      <c r="A221" s="1850" t="s">
        <v>1407</v>
      </c>
      <c r="B221" s="1854" t="s">
        <v>1227</v>
      </c>
      <c r="C221" s="1855"/>
      <c r="D221" s="1864"/>
      <c r="E221" s="1864"/>
      <c r="F221" s="1856">
        <v>0.14799999999999999</v>
      </c>
    </row>
    <row r="222" spans="1:6" ht="14.25" thickBot="1">
      <c r="A222" s="1850" t="s">
        <v>1407</v>
      </c>
      <c r="B222" s="1854" t="s">
        <v>1237</v>
      </c>
      <c r="C222" s="1855"/>
      <c r="D222" s="1864"/>
      <c r="E222" s="1864"/>
      <c r="F222" s="1856">
        <v>0.1</v>
      </c>
    </row>
    <row r="223" spans="1:6" ht="14.25" thickBot="1">
      <c r="A223" s="1850" t="s">
        <v>1407</v>
      </c>
      <c r="B223" s="1854" t="s">
        <v>1247</v>
      </c>
      <c r="C223" s="1855"/>
      <c r="D223" s="1864"/>
      <c r="E223" s="1864"/>
      <c r="F223" s="1856">
        <v>0.15</v>
      </c>
    </row>
    <row r="224" spans="1:6" ht="14.25" thickBot="1">
      <c r="A224" s="1850" t="s">
        <v>1407</v>
      </c>
      <c r="B224" s="1854" t="s">
        <v>1257</v>
      </c>
      <c r="C224" s="1855"/>
      <c r="D224" s="1864"/>
      <c r="E224" s="1864"/>
      <c r="F224" s="1856">
        <v>0.15</v>
      </c>
    </row>
    <row r="225" spans="1:6" ht="14.25" thickBot="1">
      <c r="A225" s="1850" t="s">
        <v>1407</v>
      </c>
      <c r="B225" s="1854" t="s">
        <v>2154</v>
      </c>
      <c r="C225" s="1855">
        <v>0.15</v>
      </c>
      <c r="D225" s="1855">
        <v>0.15</v>
      </c>
      <c r="E225" s="1855">
        <v>0.15</v>
      </c>
      <c r="F225" s="1856">
        <v>0.15</v>
      </c>
    </row>
    <row r="226" spans="1:6" ht="14.25" thickBot="1">
      <c r="A226" s="1850" t="s">
        <v>1407</v>
      </c>
      <c r="B226" s="1854" t="s">
        <v>1275</v>
      </c>
      <c r="C226" s="1855">
        <v>0.15</v>
      </c>
      <c r="D226" s="1855">
        <v>0.15</v>
      </c>
      <c r="E226" s="1855">
        <v>0.15</v>
      </c>
      <c r="F226" s="1856">
        <v>0.14799999999999999</v>
      </c>
    </row>
    <row r="227" spans="1:6" ht="14.25" thickBot="1">
      <c r="A227" s="1850" t="s">
        <v>1407</v>
      </c>
      <c r="B227" s="1854" t="s">
        <v>2155</v>
      </c>
      <c r="C227" s="1855">
        <v>0.15</v>
      </c>
      <c r="D227" s="1855">
        <v>0.15</v>
      </c>
      <c r="E227" s="1855">
        <v>0.15</v>
      </c>
      <c r="F227" s="1856">
        <v>0.15</v>
      </c>
    </row>
    <row r="228" spans="1:6" ht="14.25" thickBot="1">
      <c r="A228" s="1850" t="s">
        <v>1407</v>
      </c>
      <c r="B228" s="1854" t="s">
        <v>1290</v>
      </c>
      <c r="C228" s="1855">
        <v>0.15</v>
      </c>
      <c r="D228" s="1855">
        <v>0.15</v>
      </c>
      <c r="E228" s="1855">
        <v>0.15</v>
      </c>
      <c r="F228" s="1856">
        <v>0.15</v>
      </c>
    </row>
    <row r="229" spans="1:6" ht="14.25" thickBot="1">
      <c r="A229" s="1850" t="s">
        <v>1407</v>
      </c>
      <c r="B229" s="1854" t="s">
        <v>1297</v>
      </c>
      <c r="C229" s="1855">
        <v>0.15</v>
      </c>
      <c r="D229" s="1855">
        <v>0.15</v>
      </c>
      <c r="E229" s="1855">
        <v>0.15</v>
      </c>
      <c r="F229" s="1863"/>
    </row>
    <row r="230" spans="1:6" ht="14.25" thickBot="1">
      <c r="A230" s="1850" t="s">
        <v>1407</v>
      </c>
      <c r="B230" s="1854" t="s">
        <v>1304</v>
      </c>
      <c r="C230" s="1855">
        <v>0.14499999999999999</v>
      </c>
      <c r="D230" s="1855">
        <v>0.14499999999999999</v>
      </c>
      <c r="E230" s="1855">
        <v>0.14399999999999999</v>
      </c>
      <c r="F230" s="1863"/>
    </row>
    <row r="231" spans="1:6" ht="14.25" thickBot="1">
      <c r="A231" s="1850" t="s">
        <v>1407</v>
      </c>
      <c r="B231" s="1854" t="s">
        <v>2156</v>
      </c>
      <c r="C231" s="1855">
        <v>0.128</v>
      </c>
      <c r="D231" s="1855">
        <v>0.125</v>
      </c>
      <c r="E231" s="1855">
        <v>0.13200000000000001</v>
      </c>
      <c r="F231" s="1863"/>
    </row>
    <row r="232" spans="1:6" ht="14.25" thickBot="1">
      <c r="A232" s="1850" t="s">
        <v>1407</v>
      </c>
      <c r="B232" s="1854" t="s">
        <v>2157</v>
      </c>
      <c r="C232" s="1855">
        <v>0.14499999999999999</v>
      </c>
      <c r="D232" s="1855">
        <v>0.14399999999999999</v>
      </c>
      <c r="E232" s="1855">
        <v>0.14599999999999999</v>
      </c>
      <c r="F232" s="1856">
        <v>0.13800000000000001</v>
      </c>
    </row>
    <row r="233" spans="1:6" ht="14.25" thickBot="1">
      <c r="A233" s="1850" t="s">
        <v>1407</v>
      </c>
      <c r="B233" s="1854" t="s">
        <v>2158</v>
      </c>
      <c r="C233" s="1855">
        <v>0.14499999999999999</v>
      </c>
      <c r="D233" s="1855">
        <v>0.14299999999999999</v>
      </c>
      <c r="E233" s="1855">
        <v>0.14199999999999999</v>
      </c>
      <c r="F233" s="1863"/>
    </row>
    <row r="234" spans="1:6" ht="14.25" thickBot="1">
      <c r="A234" s="1850" t="s">
        <v>1407</v>
      </c>
      <c r="B234" s="1854" t="s">
        <v>2159</v>
      </c>
      <c r="C234" s="1855">
        <v>0.14000000000000001</v>
      </c>
      <c r="D234" s="1855">
        <v>0.14000000000000001</v>
      </c>
      <c r="E234" s="1855">
        <v>0.14399999999999999</v>
      </c>
      <c r="F234" s="1863"/>
    </row>
    <row r="235" spans="1:6" ht="14.25" thickBot="1">
      <c r="A235" s="1850" t="s">
        <v>1407</v>
      </c>
      <c r="B235" s="1854" t="s">
        <v>2160</v>
      </c>
      <c r="C235" s="1855">
        <v>0.14099999999999999</v>
      </c>
      <c r="D235" s="1855">
        <v>0.14199999999999999</v>
      </c>
      <c r="E235" s="1855">
        <v>0.14499999999999999</v>
      </c>
      <c r="F235" s="1856">
        <v>0.15</v>
      </c>
    </row>
    <row r="236" spans="1:6" ht="14.25" thickBot="1">
      <c r="A236" s="1850" t="s">
        <v>1407</v>
      </c>
      <c r="B236" s="1854" t="s">
        <v>1339</v>
      </c>
      <c r="C236" s="1864"/>
      <c r="D236" s="1864"/>
      <c r="E236" s="1864"/>
      <c r="F236" s="1856">
        <v>0.14299999999999999</v>
      </c>
    </row>
    <row r="237" spans="1:6" ht="24.75" thickBot="1">
      <c r="A237" s="1850" t="s">
        <v>1407</v>
      </c>
      <c r="B237" s="1854" t="s">
        <v>2161</v>
      </c>
      <c r="C237" s="1864"/>
      <c r="D237" s="1864"/>
      <c r="E237" s="1864"/>
      <c r="F237" s="1856">
        <v>0.05</v>
      </c>
    </row>
    <row r="238" spans="1:6" ht="24.75" thickBot="1">
      <c r="A238" s="1850" t="s">
        <v>1407</v>
      </c>
      <c r="B238" s="1854" t="s">
        <v>2162</v>
      </c>
      <c r="C238" s="1864"/>
      <c r="D238" s="1864"/>
      <c r="E238" s="1864"/>
      <c r="F238" s="1856">
        <v>0.05</v>
      </c>
    </row>
    <row r="239" spans="1:6" ht="24.75" thickBot="1">
      <c r="A239" s="1850" t="s">
        <v>1407</v>
      </c>
      <c r="B239" s="1854" t="s">
        <v>2163</v>
      </c>
      <c r="C239" s="1864"/>
      <c r="D239" s="1864"/>
      <c r="E239" s="1864"/>
      <c r="F239" s="1856">
        <v>0.05</v>
      </c>
    </row>
    <row r="240" spans="1:6" ht="24.75" thickBot="1">
      <c r="A240" s="1850" t="s">
        <v>1407</v>
      </c>
      <c r="B240" s="1854" t="s">
        <v>2164</v>
      </c>
      <c r="C240" s="1864"/>
      <c r="D240" s="1864"/>
      <c r="E240" s="1864"/>
      <c r="F240" s="1856">
        <v>0.05</v>
      </c>
    </row>
    <row r="241" spans="1:6" ht="24.75" thickBot="1">
      <c r="A241" s="1850" t="s">
        <v>1407</v>
      </c>
      <c r="B241" s="1854" t="s">
        <v>2165</v>
      </c>
      <c r="C241" s="1864"/>
      <c r="D241" s="1864"/>
      <c r="E241" s="1864"/>
      <c r="F241" s="1856">
        <v>0.05</v>
      </c>
    </row>
    <row r="242" spans="1:6" ht="24.75" thickBot="1">
      <c r="A242" s="1850" t="s">
        <v>1407</v>
      </c>
      <c r="B242" s="1854" t="s">
        <v>2166</v>
      </c>
      <c r="C242" s="1864"/>
      <c r="D242" s="1864"/>
      <c r="E242" s="1864"/>
      <c r="F242" s="1856">
        <v>0.05</v>
      </c>
    </row>
    <row r="243" spans="1:6" ht="24.75" thickBot="1">
      <c r="A243" s="1850" t="s">
        <v>1407</v>
      </c>
      <c r="B243" s="1854" t="s">
        <v>2167</v>
      </c>
      <c r="C243" s="1864"/>
      <c r="D243" s="1864"/>
      <c r="E243" s="1864"/>
      <c r="F243" s="1856">
        <v>0.05</v>
      </c>
    </row>
    <row r="244" spans="1:6" ht="24.75" thickBot="1">
      <c r="A244" s="1858" t="s">
        <v>1407</v>
      </c>
      <c r="B244" s="1865" t="s">
        <v>2168</v>
      </c>
      <c r="C244" s="1861"/>
      <c r="D244" s="1861"/>
      <c r="E244" s="1861"/>
      <c r="F244" s="1866">
        <v>0.05</v>
      </c>
    </row>
    <row r="245" spans="1:6" ht="14.25" thickBot="1">
      <c r="A245" s="1850" t="s">
        <v>1409</v>
      </c>
      <c r="B245" s="1851" t="s">
        <v>2169</v>
      </c>
      <c r="C245" s="1852">
        <v>0.15</v>
      </c>
      <c r="D245" s="1852">
        <v>0.15</v>
      </c>
      <c r="E245" s="1852">
        <v>0.15</v>
      </c>
      <c r="F245" s="1853">
        <v>0.14299999999999999</v>
      </c>
    </row>
    <row r="246" spans="1:6" ht="14.25" thickBot="1">
      <c r="A246" s="1850" t="s">
        <v>1409</v>
      </c>
      <c r="B246" s="1854" t="s">
        <v>1072</v>
      </c>
      <c r="C246" s="1855">
        <v>0.15</v>
      </c>
      <c r="D246" s="1855">
        <v>0.15</v>
      </c>
      <c r="E246" s="1855">
        <v>0.15</v>
      </c>
      <c r="F246" s="1856">
        <v>0.114</v>
      </c>
    </row>
    <row r="247" spans="1:6" ht="14.25" thickBot="1">
      <c r="A247" s="1850" t="s">
        <v>1409</v>
      </c>
      <c r="B247" s="1854" t="s">
        <v>2170</v>
      </c>
      <c r="C247" s="1855">
        <v>0.15</v>
      </c>
      <c r="D247" s="1855">
        <v>0.15</v>
      </c>
      <c r="E247" s="1855">
        <v>0.15</v>
      </c>
      <c r="F247" s="1856">
        <v>0.15</v>
      </c>
    </row>
    <row r="248" spans="1:6" ht="14.25" thickBot="1">
      <c r="A248" s="1850" t="s">
        <v>1409</v>
      </c>
      <c r="B248" s="1854" t="s">
        <v>2171</v>
      </c>
      <c r="C248" s="1855">
        <v>0.15</v>
      </c>
      <c r="D248" s="1855">
        <v>0.15</v>
      </c>
      <c r="E248" s="1855">
        <v>0.15</v>
      </c>
      <c r="F248" s="1856">
        <v>0.14000000000000001</v>
      </c>
    </row>
    <row r="249" spans="1:6" ht="14.25" thickBot="1">
      <c r="A249" s="1850" t="s">
        <v>1409</v>
      </c>
      <c r="B249" s="1854" t="s">
        <v>2172</v>
      </c>
      <c r="C249" s="1855">
        <v>0.15</v>
      </c>
      <c r="D249" s="1855">
        <v>0.14899999999999999</v>
      </c>
      <c r="E249" s="1855">
        <v>0.15</v>
      </c>
      <c r="F249" s="1856">
        <v>0.1</v>
      </c>
    </row>
    <row r="250" spans="1:6" ht="14.25" thickBot="1">
      <c r="A250" s="1850" t="s">
        <v>1409</v>
      </c>
      <c r="B250" s="1854" t="s">
        <v>2173</v>
      </c>
      <c r="C250" s="1855">
        <v>0.15</v>
      </c>
      <c r="D250" s="1855">
        <v>0.15</v>
      </c>
      <c r="E250" s="1855">
        <v>0.15</v>
      </c>
      <c r="F250" s="1856">
        <v>0.14399999999999999</v>
      </c>
    </row>
    <row r="251" spans="1:6" ht="14.25" thickBot="1">
      <c r="A251" s="1850" t="s">
        <v>1409</v>
      </c>
      <c r="B251" s="1854" t="s">
        <v>1135</v>
      </c>
      <c r="C251" s="1855">
        <v>0.15</v>
      </c>
      <c r="D251" s="1855">
        <v>0.15</v>
      </c>
      <c r="E251" s="1855">
        <v>0.15</v>
      </c>
      <c r="F251" s="1856">
        <v>0.14299999999999999</v>
      </c>
    </row>
    <row r="252" spans="1:6" ht="14.25" thickBot="1">
      <c r="A252" s="1850" t="s">
        <v>1409</v>
      </c>
      <c r="B252" s="1854" t="s">
        <v>1146</v>
      </c>
      <c r="C252" s="1855">
        <v>0.15</v>
      </c>
      <c r="D252" s="1855">
        <v>0.15</v>
      </c>
      <c r="E252" s="1855">
        <v>0.15</v>
      </c>
      <c r="F252" s="1856">
        <v>0.1</v>
      </c>
    </row>
    <row r="253" spans="1:6" ht="14.25" thickBot="1">
      <c r="A253" s="1850" t="s">
        <v>1409</v>
      </c>
      <c r="B253" s="1854" t="s">
        <v>1158</v>
      </c>
      <c r="C253" s="1855">
        <v>0.15</v>
      </c>
      <c r="D253" s="1855">
        <v>0.15</v>
      </c>
      <c r="E253" s="1855">
        <v>0.15</v>
      </c>
      <c r="F253" s="1856">
        <v>0.1</v>
      </c>
    </row>
    <row r="254" spans="1:6" ht="14.25" thickBot="1">
      <c r="A254" s="1850" t="s">
        <v>1409</v>
      </c>
      <c r="B254" s="1854" t="s">
        <v>1168</v>
      </c>
      <c r="C254" s="1864"/>
      <c r="D254" s="1864"/>
      <c r="E254" s="1864"/>
      <c r="F254" s="1856">
        <v>0.15</v>
      </c>
    </row>
    <row r="255" spans="1:6" ht="14.25" thickBot="1">
      <c r="A255" s="1850" t="s">
        <v>1409</v>
      </c>
      <c r="B255" s="1854" t="s">
        <v>1178</v>
      </c>
      <c r="C255" s="1864"/>
      <c r="D255" s="1864"/>
      <c r="E255" s="1864"/>
      <c r="F255" s="1856">
        <v>0.14299999999999999</v>
      </c>
    </row>
    <row r="256" spans="1:6" ht="14.25" thickBot="1">
      <c r="A256" s="1850" t="s">
        <v>1409</v>
      </c>
      <c r="B256" s="1854" t="s">
        <v>2174</v>
      </c>
      <c r="C256" s="1855">
        <v>0.14599999999999999</v>
      </c>
      <c r="D256" s="1855">
        <v>0.14699999999999999</v>
      </c>
      <c r="E256" s="1855">
        <v>0.15</v>
      </c>
      <c r="F256" s="1856">
        <v>0.13200000000000001</v>
      </c>
    </row>
    <row r="257" spans="1:6" ht="14.25" thickBot="1">
      <c r="A257" s="1850" t="s">
        <v>1409</v>
      </c>
      <c r="B257" s="1854" t="s">
        <v>1198</v>
      </c>
      <c r="C257" s="1855">
        <v>0.15</v>
      </c>
      <c r="D257" s="1855">
        <v>0.15</v>
      </c>
      <c r="E257" s="1855">
        <v>0.15</v>
      </c>
      <c r="F257" s="1856">
        <v>0.13900000000000001</v>
      </c>
    </row>
    <row r="258" spans="1:6" ht="14.25" thickBot="1">
      <c r="A258" s="1850" t="s">
        <v>1409</v>
      </c>
      <c r="B258" s="1854" t="s">
        <v>1208</v>
      </c>
      <c r="C258" s="1855">
        <v>0.15</v>
      </c>
      <c r="D258" s="1855">
        <v>0.15</v>
      </c>
      <c r="E258" s="1855">
        <v>0.15</v>
      </c>
      <c r="F258" s="1856">
        <v>0.13</v>
      </c>
    </row>
    <row r="259" spans="1:6" ht="14.25" thickBot="1">
      <c r="A259" s="1850" t="s">
        <v>1409</v>
      </c>
      <c r="B259" s="1854" t="s">
        <v>2175</v>
      </c>
      <c r="C259" s="1855">
        <v>0.14799999999999999</v>
      </c>
      <c r="D259" s="1855">
        <v>0.14899999999999999</v>
      </c>
      <c r="E259" s="1855">
        <v>0.15</v>
      </c>
      <c r="F259" s="1856">
        <v>0.13700000000000001</v>
      </c>
    </row>
    <row r="260" spans="1:6" ht="14.25" thickBot="1">
      <c r="A260" s="1850" t="s">
        <v>1409</v>
      </c>
      <c r="B260" s="1854" t="s">
        <v>1228</v>
      </c>
      <c r="C260" s="1855">
        <v>0.15</v>
      </c>
      <c r="D260" s="1855">
        <v>0.15</v>
      </c>
      <c r="E260" s="1855">
        <v>0.15</v>
      </c>
      <c r="F260" s="1856">
        <v>0.14199999999999999</v>
      </c>
    </row>
    <row r="261" spans="1:6" ht="14.25" thickBot="1">
      <c r="A261" s="1850" t="s">
        <v>1409</v>
      </c>
      <c r="B261" s="1854" t="s">
        <v>1238</v>
      </c>
      <c r="C261" s="1855">
        <v>0.15</v>
      </c>
      <c r="D261" s="1855">
        <v>0.15</v>
      </c>
      <c r="E261" s="1855">
        <v>0.14899999999999999</v>
      </c>
      <c r="F261" s="1856">
        <v>0.14799999999999999</v>
      </c>
    </row>
    <row r="262" spans="1:6" ht="14.25" thickBot="1">
      <c r="A262" s="1850" t="s">
        <v>1409</v>
      </c>
      <c r="B262" s="1854" t="s">
        <v>1248</v>
      </c>
      <c r="C262" s="1855">
        <v>0.15</v>
      </c>
      <c r="D262" s="1855">
        <v>0.15</v>
      </c>
      <c r="E262" s="1855">
        <v>0.15</v>
      </c>
      <c r="F262" s="1863"/>
    </row>
    <row r="263" spans="1:6" ht="14.25" thickBot="1">
      <c r="A263" s="1850" t="s">
        <v>1409</v>
      </c>
      <c r="B263" s="1854" t="s">
        <v>2176</v>
      </c>
      <c r="C263" s="1855">
        <v>0.14899999999999999</v>
      </c>
      <c r="D263" s="1855">
        <v>0.14899999999999999</v>
      </c>
      <c r="E263" s="1855">
        <v>0.15</v>
      </c>
      <c r="F263" s="1856">
        <v>0.13</v>
      </c>
    </row>
    <row r="264" spans="1:6" ht="14.25" thickBot="1">
      <c r="A264" s="1850" t="s">
        <v>1409</v>
      </c>
      <c r="B264" s="1854" t="s">
        <v>1267</v>
      </c>
      <c r="C264" s="1855">
        <v>0.14799999999999999</v>
      </c>
      <c r="D264" s="1855">
        <v>0.14699999999999999</v>
      </c>
      <c r="E264" s="1855">
        <v>0.15</v>
      </c>
      <c r="F264" s="1856">
        <v>7.8E-2</v>
      </c>
    </row>
    <row r="265" spans="1:6" ht="14.25" thickBot="1">
      <c r="A265" s="1850" t="s">
        <v>1409</v>
      </c>
      <c r="B265" s="1854" t="s">
        <v>1276</v>
      </c>
      <c r="C265" s="1855">
        <v>0.15</v>
      </c>
      <c r="D265" s="1855">
        <v>0.15</v>
      </c>
      <c r="E265" s="1855">
        <v>0.15</v>
      </c>
      <c r="F265" s="1856">
        <v>7.3999999999999996E-2</v>
      </c>
    </row>
    <row r="266" spans="1:6" ht="14.25" thickBot="1">
      <c r="A266" s="1850" t="s">
        <v>1409</v>
      </c>
      <c r="B266" s="1854" t="s">
        <v>1284</v>
      </c>
      <c r="C266" s="1855">
        <v>0.14699999999999999</v>
      </c>
      <c r="D266" s="1855">
        <v>0.14699999999999999</v>
      </c>
      <c r="E266" s="1855">
        <v>0.15</v>
      </c>
      <c r="F266" s="1856">
        <v>0.14299999999999999</v>
      </c>
    </row>
    <row r="267" spans="1:6" ht="14.25" thickBot="1">
      <c r="A267" s="1850" t="s">
        <v>1409</v>
      </c>
      <c r="B267" s="1854" t="s">
        <v>1291</v>
      </c>
      <c r="C267" s="1855">
        <v>0.14199999999999999</v>
      </c>
      <c r="D267" s="1855">
        <v>0.14299999999999999</v>
      </c>
      <c r="E267" s="1855">
        <v>0.15</v>
      </c>
      <c r="F267" s="1863"/>
    </row>
    <row r="268" spans="1:6" ht="14.25" thickBot="1">
      <c r="A268" s="1850" t="s">
        <v>1409</v>
      </c>
      <c r="B268" s="1854" t="s">
        <v>2177</v>
      </c>
      <c r="C268" s="1855">
        <v>0.15</v>
      </c>
      <c r="D268" s="1855">
        <v>0.15</v>
      </c>
      <c r="E268" s="1855">
        <v>0.15</v>
      </c>
      <c r="F268" s="1856">
        <v>0.13</v>
      </c>
    </row>
    <row r="269" spans="1:6" ht="14.25" thickBot="1">
      <c r="A269" s="1850" t="s">
        <v>1409</v>
      </c>
      <c r="B269" s="1854" t="s">
        <v>1305</v>
      </c>
      <c r="C269" s="1855">
        <v>0.15</v>
      </c>
      <c r="D269" s="1855">
        <v>0.15</v>
      </c>
      <c r="E269" s="1855">
        <v>0.15</v>
      </c>
      <c r="F269" s="1856">
        <v>0.14299999999999999</v>
      </c>
    </row>
    <row r="270" spans="1:6" ht="14.25" thickBot="1">
      <c r="A270" s="1850" t="s">
        <v>1409</v>
      </c>
      <c r="B270" s="1854" t="s">
        <v>1312</v>
      </c>
      <c r="C270" s="1855">
        <v>0.14499999999999999</v>
      </c>
      <c r="D270" s="1855">
        <v>0.14499999999999999</v>
      </c>
      <c r="E270" s="1855">
        <v>0.15</v>
      </c>
      <c r="F270" s="1856">
        <v>0.14699999999999999</v>
      </c>
    </row>
    <row r="271" spans="1:6" ht="14.25" thickBot="1">
      <c r="A271" s="1850" t="s">
        <v>1409</v>
      </c>
      <c r="B271" s="1854" t="s">
        <v>1319</v>
      </c>
      <c r="C271" s="1855">
        <v>0.15</v>
      </c>
      <c r="D271" s="1855">
        <v>0.15</v>
      </c>
      <c r="E271" s="1855">
        <v>0.15</v>
      </c>
      <c r="F271" s="1856">
        <v>0.13800000000000001</v>
      </c>
    </row>
    <row r="272" spans="1:6" ht="14.25" thickBot="1">
      <c r="A272" s="1850" t="s">
        <v>1409</v>
      </c>
      <c r="B272" s="1854" t="s">
        <v>1326</v>
      </c>
      <c r="C272" s="1864"/>
      <c r="D272" s="1864"/>
      <c r="E272" s="1864"/>
      <c r="F272" s="1856">
        <v>0.14000000000000001</v>
      </c>
    </row>
    <row r="273" spans="1:6" ht="14.25" thickBot="1">
      <c r="A273" s="1850" t="s">
        <v>1409</v>
      </c>
      <c r="B273" s="1854" t="s">
        <v>2178</v>
      </c>
      <c r="C273" s="1855">
        <v>0.14199999999999999</v>
      </c>
      <c r="D273" s="1855">
        <v>0.14299999999999999</v>
      </c>
      <c r="E273" s="1855">
        <v>0.15</v>
      </c>
      <c r="F273" s="1856">
        <v>0.1</v>
      </c>
    </row>
    <row r="274" spans="1:6" ht="14.25" thickBot="1">
      <c r="A274" s="1850" t="s">
        <v>1409</v>
      </c>
      <c r="B274" s="1854" t="s">
        <v>2179</v>
      </c>
      <c r="C274" s="1855">
        <v>0.14799999999999999</v>
      </c>
      <c r="D274" s="1855">
        <v>0.14799999999999999</v>
      </c>
      <c r="E274" s="1855">
        <v>0.15</v>
      </c>
      <c r="F274" s="1856">
        <v>6.7000000000000004E-2</v>
      </c>
    </row>
    <row r="275" spans="1:6" ht="14.25" thickBot="1">
      <c r="A275" s="1850" t="s">
        <v>1409</v>
      </c>
      <c r="B275" s="1854" t="s">
        <v>2180</v>
      </c>
      <c r="C275" s="1855">
        <v>0.15</v>
      </c>
      <c r="D275" s="1855">
        <v>0.15</v>
      </c>
      <c r="E275" s="1855">
        <v>0.15</v>
      </c>
      <c r="F275" s="1856">
        <v>0.15</v>
      </c>
    </row>
    <row r="276" spans="1:6" ht="14.25" thickBot="1">
      <c r="A276" s="1850" t="s">
        <v>1409</v>
      </c>
      <c r="B276" s="1854" t="s">
        <v>2181</v>
      </c>
      <c r="C276" s="1855">
        <v>0.14499999999999999</v>
      </c>
      <c r="D276" s="1855">
        <v>0.14299999999999999</v>
      </c>
      <c r="E276" s="1855">
        <v>0.15</v>
      </c>
      <c r="F276" s="1856">
        <v>5.8999999999999997E-2</v>
      </c>
    </row>
    <row r="277" spans="1:6" ht="14.25" thickBot="1">
      <c r="A277" s="1850" t="s">
        <v>1409</v>
      </c>
      <c r="B277" s="1854" t="s">
        <v>2182</v>
      </c>
      <c r="C277" s="1855">
        <v>0.15</v>
      </c>
      <c r="D277" s="1855">
        <v>0.15</v>
      </c>
      <c r="E277" s="1855">
        <v>0.15</v>
      </c>
      <c r="F277" s="1856">
        <v>0.121</v>
      </c>
    </row>
    <row r="278" spans="1:6" ht="14.25" thickBot="1">
      <c r="A278" s="1850" t="s">
        <v>1409</v>
      </c>
      <c r="B278" s="1854" t="s">
        <v>2183</v>
      </c>
      <c r="C278" s="1855">
        <v>0.15</v>
      </c>
      <c r="D278" s="1855">
        <v>0.15</v>
      </c>
      <c r="E278" s="1855">
        <v>0.15</v>
      </c>
      <c r="F278" s="1856">
        <v>0.13800000000000001</v>
      </c>
    </row>
    <row r="279" spans="1:6" ht="24.75" thickBot="1">
      <c r="A279" s="1850" t="s">
        <v>1409</v>
      </c>
      <c r="B279" s="1854" t="s">
        <v>2184</v>
      </c>
      <c r="C279" s="1864"/>
      <c r="D279" s="1864"/>
      <c r="E279" s="1864"/>
      <c r="F279" s="1856">
        <v>0.05</v>
      </c>
    </row>
    <row r="280" spans="1:6" ht="24.75" thickBot="1">
      <c r="A280" s="1850" t="s">
        <v>1409</v>
      </c>
      <c r="B280" s="1854" t="s">
        <v>2185</v>
      </c>
      <c r="C280" s="1864"/>
      <c r="D280" s="1864"/>
      <c r="E280" s="1864"/>
      <c r="F280" s="1856">
        <v>0.05</v>
      </c>
    </row>
    <row r="281" spans="1:6" ht="24.75" thickBot="1">
      <c r="A281" s="1850" t="s">
        <v>1409</v>
      </c>
      <c r="B281" s="1854" t="s">
        <v>2186</v>
      </c>
      <c r="C281" s="1864"/>
      <c r="D281" s="1864"/>
      <c r="E281" s="1864"/>
      <c r="F281" s="1856">
        <v>0.05</v>
      </c>
    </row>
    <row r="282" spans="1:6" ht="24.75" thickBot="1">
      <c r="A282" s="1850" t="s">
        <v>1409</v>
      </c>
      <c r="B282" s="1854" t="s">
        <v>2187</v>
      </c>
      <c r="C282" s="1864"/>
      <c r="D282" s="1864"/>
      <c r="E282" s="1864"/>
      <c r="F282" s="1856">
        <v>0.05</v>
      </c>
    </row>
    <row r="283" spans="1:6" ht="24.75" thickBot="1">
      <c r="A283" s="1850" t="s">
        <v>1409</v>
      </c>
      <c r="B283" s="1854" t="s">
        <v>2188</v>
      </c>
      <c r="C283" s="1864"/>
      <c r="D283" s="1864"/>
      <c r="E283" s="1864"/>
      <c r="F283" s="1856">
        <v>0.05</v>
      </c>
    </row>
    <row r="284" spans="1:6" ht="24.75" thickBot="1">
      <c r="A284" s="1850" t="s">
        <v>1409</v>
      </c>
      <c r="B284" s="1854" t="s">
        <v>2189</v>
      </c>
      <c r="C284" s="1864"/>
      <c r="D284" s="1864"/>
      <c r="E284" s="1864"/>
      <c r="F284" s="1856">
        <v>0.05</v>
      </c>
    </row>
    <row r="285" spans="1:6" ht="24.75" thickBot="1">
      <c r="A285" s="1850" t="s">
        <v>1409</v>
      </c>
      <c r="B285" s="1854" t="s">
        <v>2190</v>
      </c>
      <c r="C285" s="1864"/>
      <c r="D285" s="1864"/>
      <c r="E285" s="1864"/>
      <c r="F285" s="1856">
        <v>0.05</v>
      </c>
    </row>
    <row r="286" spans="1:6" ht="24.75" thickBot="1">
      <c r="A286" s="1850" t="s">
        <v>1409</v>
      </c>
      <c r="B286" s="1854" t="s">
        <v>2191</v>
      </c>
      <c r="C286" s="1864"/>
      <c r="D286" s="1864"/>
      <c r="E286" s="1864"/>
      <c r="F286" s="1856">
        <v>0.05</v>
      </c>
    </row>
    <row r="287" spans="1:6" ht="24.75" thickBot="1">
      <c r="A287" s="1850" t="s">
        <v>1409</v>
      </c>
      <c r="B287" s="1854" t="s">
        <v>2192</v>
      </c>
      <c r="C287" s="1864"/>
      <c r="D287" s="1864"/>
      <c r="E287" s="1864"/>
      <c r="F287" s="1856">
        <v>0.05</v>
      </c>
    </row>
    <row r="288" spans="1:6" ht="24.75" thickBot="1">
      <c r="A288" s="1850" t="s">
        <v>1409</v>
      </c>
      <c r="B288" s="1854" t="s">
        <v>2193</v>
      </c>
      <c r="C288" s="1864"/>
      <c r="D288" s="1864"/>
      <c r="E288" s="1864"/>
      <c r="F288" s="1856">
        <v>0.05</v>
      </c>
    </row>
    <row r="289" spans="1:6" ht="24.75" thickBot="1">
      <c r="A289" s="1858" t="s">
        <v>1409</v>
      </c>
      <c r="B289" s="1865" t="s">
        <v>2194</v>
      </c>
      <c r="C289" s="1861"/>
      <c r="D289" s="1861"/>
      <c r="E289" s="1861"/>
      <c r="F289" s="1866">
        <v>0.05</v>
      </c>
    </row>
    <row r="290" spans="1:6" ht="14.25" thickBot="1">
      <c r="A290" s="1850" t="s">
        <v>1413</v>
      </c>
      <c r="B290" s="1851" t="s">
        <v>2195</v>
      </c>
      <c r="C290" s="1852">
        <v>0.15</v>
      </c>
      <c r="D290" s="1852">
        <v>0.15</v>
      </c>
      <c r="E290" s="1852">
        <v>0.15</v>
      </c>
      <c r="F290" s="1874"/>
    </row>
    <row r="291" spans="1:6" ht="14.25" thickBot="1">
      <c r="A291" s="1850" t="s">
        <v>1413</v>
      </c>
      <c r="B291" s="1854" t="s">
        <v>1073</v>
      </c>
      <c r="C291" s="1855">
        <v>0.15</v>
      </c>
      <c r="D291" s="1855">
        <v>0.15</v>
      </c>
      <c r="E291" s="1855">
        <v>0.15</v>
      </c>
      <c r="F291" s="1863"/>
    </row>
    <row r="292" spans="1:6" ht="14.25" thickBot="1">
      <c r="A292" s="1850" t="s">
        <v>1413</v>
      </c>
      <c r="B292" s="1854" t="s">
        <v>2196</v>
      </c>
      <c r="C292" s="1855">
        <v>0.15</v>
      </c>
      <c r="D292" s="1855">
        <v>0.15</v>
      </c>
      <c r="E292" s="1855">
        <v>0.15</v>
      </c>
      <c r="F292" s="1856">
        <v>0.14699999999999999</v>
      </c>
    </row>
    <row r="293" spans="1:6" ht="14.25" thickBot="1">
      <c r="A293" s="1850" t="s">
        <v>1413</v>
      </c>
      <c r="B293" s="1854" t="s">
        <v>2197</v>
      </c>
      <c r="C293" s="1864"/>
      <c r="D293" s="1864"/>
      <c r="E293" s="1864"/>
      <c r="F293" s="1856">
        <v>0.1</v>
      </c>
    </row>
    <row r="294" spans="1:6" ht="14.25" thickBot="1">
      <c r="A294" s="1850" t="s">
        <v>1413</v>
      </c>
      <c r="B294" s="1854" t="s">
        <v>2198</v>
      </c>
      <c r="C294" s="1855">
        <v>0.15</v>
      </c>
      <c r="D294" s="1855">
        <v>0.15</v>
      </c>
      <c r="E294" s="1855">
        <v>0.15</v>
      </c>
      <c r="F294" s="1856">
        <v>0.15</v>
      </c>
    </row>
    <row r="295" spans="1:6" ht="14.25" thickBot="1">
      <c r="A295" s="1850" t="s">
        <v>1413</v>
      </c>
      <c r="B295" s="1854" t="s">
        <v>1114</v>
      </c>
      <c r="C295" s="1855">
        <v>0.15</v>
      </c>
      <c r="D295" s="1855">
        <v>0.15</v>
      </c>
      <c r="E295" s="1855">
        <v>0.15</v>
      </c>
      <c r="F295" s="1856">
        <v>0.15</v>
      </c>
    </row>
    <row r="296" spans="1:6" ht="14.25" thickBot="1">
      <c r="A296" s="1850" t="s">
        <v>1413</v>
      </c>
      <c r="B296" s="1854" t="s">
        <v>2199</v>
      </c>
      <c r="C296" s="1855">
        <v>0.15</v>
      </c>
      <c r="D296" s="1855">
        <v>0.15</v>
      </c>
      <c r="E296" s="1855">
        <v>0.15</v>
      </c>
      <c r="F296" s="1856">
        <v>0.15</v>
      </c>
    </row>
    <row r="297" spans="1:6" ht="14.25" thickBot="1">
      <c r="A297" s="1850" t="s">
        <v>1413</v>
      </c>
      <c r="B297" s="1854" t="s">
        <v>2200</v>
      </c>
      <c r="C297" s="1855">
        <v>0.14799999999999999</v>
      </c>
      <c r="D297" s="1855">
        <v>0.14899999999999999</v>
      </c>
      <c r="E297" s="1855">
        <v>0.15</v>
      </c>
      <c r="F297" s="1856">
        <v>0.13700000000000001</v>
      </c>
    </row>
    <row r="298" spans="1:6" ht="14.25" thickBot="1">
      <c r="A298" s="1850" t="s">
        <v>1413</v>
      </c>
      <c r="B298" s="1854" t="s">
        <v>1147</v>
      </c>
      <c r="C298" s="1855">
        <v>0.13400000000000001</v>
      </c>
      <c r="D298" s="1855">
        <v>0.13400000000000001</v>
      </c>
      <c r="E298" s="1855">
        <v>0.14499999999999999</v>
      </c>
      <c r="F298" s="1856">
        <v>0.14799999999999999</v>
      </c>
    </row>
    <row r="299" spans="1:6" ht="14.25" thickBot="1">
      <c r="A299" s="1850" t="s">
        <v>1413</v>
      </c>
      <c r="B299" s="1854" t="s">
        <v>1159</v>
      </c>
      <c r="C299" s="1855">
        <v>0.15</v>
      </c>
      <c r="D299" s="1855">
        <v>0.15</v>
      </c>
      <c r="E299" s="1855">
        <v>0.15</v>
      </c>
      <c r="F299" s="1863"/>
    </row>
    <row r="300" spans="1:6" ht="14.25" thickBot="1">
      <c r="A300" s="1850" t="s">
        <v>1413</v>
      </c>
      <c r="B300" s="1854" t="s">
        <v>2201</v>
      </c>
      <c r="C300" s="1855">
        <v>0.15</v>
      </c>
      <c r="D300" s="1855">
        <v>0.15</v>
      </c>
      <c r="E300" s="1855">
        <v>0.15</v>
      </c>
      <c r="F300" s="1856">
        <v>0.15</v>
      </c>
    </row>
    <row r="301" spans="1:6" ht="14.25" thickBot="1">
      <c r="A301" s="1850" t="s">
        <v>1413</v>
      </c>
      <c r="B301" s="1854" t="s">
        <v>1179</v>
      </c>
      <c r="C301" s="1855">
        <v>0.15</v>
      </c>
      <c r="D301" s="1855">
        <v>0.15</v>
      </c>
      <c r="E301" s="1855">
        <v>0.15</v>
      </c>
      <c r="F301" s="1863"/>
    </row>
    <row r="302" spans="1:6" ht="14.25" thickBot="1">
      <c r="A302" s="1850" t="s">
        <v>1413</v>
      </c>
      <c r="B302" s="1854" t="s">
        <v>2202</v>
      </c>
      <c r="C302" s="1855">
        <v>0.15</v>
      </c>
      <c r="D302" s="1855">
        <v>0.15</v>
      </c>
      <c r="E302" s="1855">
        <v>0.15</v>
      </c>
      <c r="F302" s="1856">
        <v>0.15</v>
      </c>
    </row>
    <row r="303" spans="1:6" ht="14.25" thickBot="1">
      <c r="A303" s="1850" t="s">
        <v>1413</v>
      </c>
      <c r="B303" s="1854" t="s">
        <v>1199</v>
      </c>
      <c r="C303" s="1855">
        <v>0.15</v>
      </c>
      <c r="D303" s="1855">
        <v>0.15</v>
      </c>
      <c r="E303" s="1855">
        <v>0.15</v>
      </c>
      <c r="F303" s="1856">
        <v>0.15</v>
      </c>
    </row>
    <row r="304" spans="1:6" ht="14.25" thickBot="1">
      <c r="A304" s="1850" t="s">
        <v>1413</v>
      </c>
      <c r="B304" s="1854" t="s">
        <v>1209</v>
      </c>
      <c r="C304" s="1855">
        <v>0.15</v>
      </c>
      <c r="D304" s="1855">
        <v>0.15</v>
      </c>
      <c r="E304" s="1855">
        <v>0.15</v>
      </c>
      <c r="F304" s="1863"/>
    </row>
    <row r="305" spans="1:6" ht="14.25" thickBot="1">
      <c r="A305" s="1850" t="s">
        <v>1413</v>
      </c>
      <c r="B305" s="1854" t="s">
        <v>2203</v>
      </c>
      <c r="C305" s="1855">
        <v>0.15</v>
      </c>
      <c r="D305" s="1855">
        <v>0.15</v>
      </c>
      <c r="E305" s="1855">
        <v>0.15</v>
      </c>
      <c r="F305" s="1856">
        <v>0.14000000000000001</v>
      </c>
    </row>
    <row r="306" spans="1:6" ht="14.25" thickBot="1">
      <c r="A306" s="1850" t="s">
        <v>1413</v>
      </c>
      <c r="B306" s="1854" t="s">
        <v>1229</v>
      </c>
      <c r="C306" s="1855">
        <v>0.15</v>
      </c>
      <c r="D306" s="1855">
        <v>0.15</v>
      </c>
      <c r="E306" s="1855">
        <v>0.15</v>
      </c>
      <c r="F306" s="1863"/>
    </row>
    <row r="307" spans="1:6" ht="14.25" thickBot="1">
      <c r="A307" s="1850" t="s">
        <v>1413</v>
      </c>
      <c r="B307" s="1854" t="s">
        <v>2204</v>
      </c>
      <c r="C307" s="1855">
        <v>0.15</v>
      </c>
      <c r="D307" s="1855">
        <v>0.15</v>
      </c>
      <c r="E307" s="1855">
        <v>0.15</v>
      </c>
      <c r="F307" s="1856">
        <v>0.14299999999999999</v>
      </c>
    </row>
    <row r="308" spans="1:6" ht="14.25" thickBot="1">
      <c r="A308" s="1850" t="s">
        <v>1413</v>
      </c>
      <c r="B308" s="1854" t="s">
        <v>1249</v>
      </c>
      <c r="C308" s="1855">
        <v>0.15</v>
      </c>
      <c r="D308" s="1855">
        <v>0.15</v>
      </c>
      <c r="E308" s="1855">
        <v>0.15</v>
      </c>
      <c r="F308" s="1856">
        <v>0.15</v>
      </c>
    </row>
    <row r="309" spans="1:6" ht="14.25" thickBot="1">
      <c r="A309" s="1850" t="s">
        <v>1413</v>
      </c>
      <c r="B309" s="1854" t="s">
        <v>1259</v>
      </c>
      <c r="C309" s="1855">
        <v>0.15</v>
      </c>
      <c r="D309" s="1855">
        <v>0.15</v>
      </c>
      <c r="E309" s="1855">
        <v>0.15</v>
      </c>
      <c r="F309" s="1863"/>
    </row>
    <row r="310" spans="1:6" ht="14.25" thickBot="1">
      <c r="A310" s="1850" t="s">
        <v>1413</v>
      </c>
      <c r="B310" s="1854" t="s">
        <v>2205</v>
      </c>
      <c r="C310" s="1855">
        <v>0.15</v>
      </c>
      <c r="D310" s="1855">
        <v>0.15</v>
      </c>
      <c r="E310" s="1855">
        <v>0.15</v>
      </c>
      <c r="F310" s="1856">
        <v>0.13700000000000001</v>
      </c>
    </row>
    <row r="311" spans="1:6" ht="14.25" thickBot="1">
      <c r="A311" s="1850" t="s">
        <v>1413</v>
      </c>
      <c r="B311" s="1854" t="s">
        <v>2206</v>
      </c>
      <c r="C311" s="1855">
        <v>0.15</v>
      </c>
      <c r="D311" s="1855">
        <v>0.15</v>
      </c>
      <c r="E311" s="1855">
        <v>0.15</v>
      </c>
      <c r="F311" s="1856">
        <v>0.15</v>
      </c>
    </row>
    <row r="312" spans="1:6" ht="14.25" thickBot="1">
      <c r="A312" s="1850" t="s">
        <v>1413</v>
      </c>
      <c r="B312" s="1854" t="s">
        <v>1285</v>
      </c>
      <c r="C312" s="1855">
        <v>0.15</v>
      </c>
      <c r="D312" s="1855">
        <v>0.15</v>
      </c>
      <c r="E312" s="1855">
        <v>0.15</v>
      </c>
      <c r="F312" s="1856">
        <v>0.1</v>
      </c>
    </row>
    <row r="313" spans="1:6" ht="14.25" thickBot="1">
      <c r="A313" s="1850" t="s">
        <v>1413</v>
      </c>
      <c r="B313" s="1854" t="s">
        <v>2207</v>
      </c>
      <c r="C313" s="1855">
        <v>0.15</v>
      </c>
      <c r="D313" s="1855">
        <v>0.15</v>
      </c>
      <c r="E313" s="1855">
        <v>0.15</v>
      </c>
      <c r="F313" s="1856">
        <v>0.15</v>
      </c>
    </row>
    <row r="314" spans="1:6" ht="24.75" thickBot="1">
      <c r="A314" s="1850" t="s">
        <v>1413</v>
      </c>
      <c r="B314" s="1854" t="s">
        <v>2208</v>
      </c>
      <c r="C314" s="1864"/>
      <c r="D314" s="1864"/>
      <c r="E314" s="1864"/>
      <c r="F314" s="1856">
        <v>0.05</v>
      </c>
    </row>
    <row r="315" spans="1:6" ht="24.75" thickBot="1">
      <c r="A315" s="1850" t="s">
        <v>1413</v>
      </c>
      <c r="B315" s="1854" t="s">
        <v>2209</v>
      </c>
      <c r="C315" s="1864"/>
      <c r="D315" s="1864"/>
      <c r="E315" s="1864"/>
      <c r="F315" s="1856">
        <v>0.05</v>
      </c>
    </row>
    <row r="316" spans="1:6" ht="24.75" thickBot="1">
      <c r="A316" s="1858" t="s">
        <v>1413</v>
      </c>
      <c r="B316" s="1865" t="s">
        <v>2210</v>
      </c>
      <c r="C316" s="1861"/>
      <c r="D316" s="1861"/>
      <c r="E316" s="1861"/>
      <c r="F316" s="1866">
        <v>0.05</v>
      </c>
    </row>
    <row r="317" spans="1:6" ht="14.25" thickBot="1">
      <c r="A317" s="1850" t="s">
        <v>2211</v>
      </c>
      <c r="B317" s="1851" t="s">
        <v>2212</v>
      </c>
      <c r="C317" s="1852">
        <v>0.15</v>
      </c>
      <c r="D317" s="1852">
        <v>0.15</v>
      </c>
      <c r="E317" s="1852">
        <v>0.15</v>
      </c>
      <c r="F317" s="1853">
        <v>0.15</v>
      </c>
    </row>
    <row r="318" spans="1:6" ht="14.25" thickBot="1">
      <c r="A318" s="1850" t="s">
        <v>2211</v>
      </c>
      <c r="B318" s="1854" t="s">
        <v>2213</v>
      </c>
      <c r="C318" s="1855">
        <v>0.107</v>
      </c>
      <c r="D318" s="1855">
        <v>0.11</v>
      </c>
      <c r="E318" s="1855">
        <v>0.112</v>
      </c>
      <c r="F318" s="1863"/>
    </row>
    <row r="319" spans="1:6" ht="14.25" thickBot="1">
      <c r="A319" s="1850" t="s">
        <v>2211</v>
      </c>
      <c r="B319" s="1854" t="s">
        <v>2214</v>
      </c>
      <c r="C319" s="1855">
        <v>0.15</v>
      </c>
      <c r="D319" s="1855">
        <v>0.15</v>
      </c>
      <c r="E319" s="1855">
        <v>0.15</v>
      </c>
      <c r="F319" s="1856">
        <v>0.15</v>
      </c>
    </row>
    <row r="320" spans="1:6" ht="14.25" thickBot="1">
      <c r="A320" s="1850" t="s">
        <v>2211</v>
      </c>
      <c r="B320" s="1854" t="s">
        <v>1101</v>
      </c>
      <c r="C320" s="1855">
        <v>0.15</v>
      </c>
      <c r="D320" s="1855">
        <v>0.15</v>
      </c>
      <c r="E320" s="1855">
        <v>0.15</v>
      </c>
      <c r="F320" s="1863"/>
    </row>
    <row r="321" spans="1:6" ht="14.25" thickBot="1">
      <c r="A321" s="1850" t="s">
        <v>2211</v>
      </c>
      <c r="B321" s="1854" t="s">
        <v>2215</v>
      </c>
      <c r="C321" s="1855">
        <v>0.15</v>
      </c>
      <c r="D321" s="1855">
        <v>0.15</v>
      </c>
      <c r="E321" s="1855">
        <v>0.15</v>
      </c>
      <c r="F321" s="1863"/>
    </row>
    <row r="322" spans="1:6" ht="14.25" thickBot="1">
      <c r="A322" s="1850" t="s">
        <v>2211</v>
      </c>
      <c r="B322" s="1854" t="s">
        <v>2216</v>
      </c>
      <c r="C322" s="1855">
        <v>0.15</v>
      </c>
      <c r="D322" s="1855">
        <v>0.15</v>
      </c>
      <c r="E322" s="1855">
        <v>0.15</v>
      </c>
      <c r="F322" s="1856">
        <v>0.15</v>
      </c>
    </row>
    <row r="323" spans="1:6" ht="14.25" thickBot="1">
      <c r="A323" s="1850" t="s">
        <v>2211</v>
      </c>
      <c r="B323" s="1854" t="s">
        <v>2217</v>
      </c>
      <c r="C323" s="1855">
        <v>0.15</v>
      </c>
      <c r="D323" s="1855">
        <v>0.15</v>
      </c>
      <c r="E323" s="1855">
        <v>0.15</v>
      </c>
      <c r="F323" s="1863"/>
    </row>
    <row r="324" spans="1:6" ht="14.25" thickBot="1">
      <c r="A324" s="1850" t="s">
        <v>2211</v>
      </c>
      <c r="B324" s="1854" t="s">
        <v>2218</v>
      </c>
      <c r="C324" s="1855">
        <v>0.15</v>
      </c>
      <c r="D324" s="1855">
        <v>0.15</v>
      </c>
      <c r="E324" s="1855">
        <v>0.15</v>
      </c>
      <c r="F324" s="1863"/>
    </row>
    <row r="325" spans="1:6" ht="14.25" thickBot="1">
      <c r="A325" s="1850" t="s">
        <v>2211</v>
      </c>
      <c r="B325" s="1854" t="s">
        <v>2219</v>
      </c>
      <c r="C325" s="1855">
        <v>0.15</v>
      </c>
      <c r="D325" s="1855">
        <v>0.15</v>
      </c>
      <c r="E325" s="1855">
        <v>0.15</v>
      </c>
      <c r="F325" s="1856">
        <v>0.14699999999999999</v>
      </c>
    </row>
    <row r="326" spans="1:6" ht="14.25" thickBot="1">
      <c r="A326" s="1850" t="s">
        <v>2211</v>
      </c>
      <c r="B326" s="1854" t="s">
        <v>1170</v>
      </c>
      <c r="C326" s="1855">
        <v>0.15</v>
      </c>
      <c r="D326" s="1855">
        <v>0.15</v>
      </c>
      <c r="E326" s="1855">
        <v>0.15</v>
      </c>
      <c r="F326" s="1863"/>
    </row>
    <row r="327" spans="1:6" ht="14.25" thickBot="1">
      <c r="A327" s="1850" t="s">
        <v>2211</v>
      </c>
      <c r="B327" s="1854" t="s">
        <v>2220</v>
      </c>
      <c r="C327" s="1855">
        <v>0.15</v>
      </c>
      <c r="D327" s="1855">
        <v>0.15</v>
      </c>
      <c r="E327" s="1855">
        <v>0.15</v>
      </c>
      <c r="F327" s="1856">
        <v>0.15</v>
      </c>
    </row>
    <row r="328" spans="1:6" ht="14.25" thickBot="1">
      <c r="A328" s="1850" t="s">
        <v>2211</v>
      </c>
      <c r="B328" s="1854" t="s">
        <v>1190</v>
      </c>
      <c r="C328" s="1855">
        <v>0.15</v>
      </c>
      <c r="D328" s="1855">
        <v>0.15</v>
      </c>
      <c r="E328" s="1855">
        <v>0.15</v>
      </c>
      <c r="F328" s="1856">
        <v>0.14099999999999999</v>
      </c>
    </row>
    <row r="329" spans="1:6" ht="14.25" thickBot="1">
      <c r="A329" s="1850" t="s">
        <v>2211</v>
      </c>
      <c r="B329" s="1854" t="s">
        <v>1200</v>
      </c>
      <c r="C329" s="1855">
        <v>0.15</v>
      </c>
      <c r="D329" s="1855">
        <v>0.15</v>
      </c>
      <c r="E329" s="1855">
        <v>0.15</v>
      </c>
      <c r="F329" s="1856">
        <v>0.15</v>
      </c>
    </row>
    <row r="330" spans="1:6" ht="14.25" thickBot="1">
      <c r="A330" s="1850" t="s">
        <v>2211</v>
      </c>
      <c r="B330" s="1854" t="s">
        <v>1210</v>
      </c>
      <c r="C330" s="1855">
        <v>0.15</v>
      </c>
      <c r="D330" s="1855">
        <v>0.15</v>
      </c>
      <c r="E330" s="1855">
        <v>0.15</v>
      </c>
      <c r="F330" s="1863"/>
    </row>
    <row r="331" spans="1:6" ht="14.25" thickBot="1">
      <c r="A331" s="1850" t="s">
        <v>2211</v>
      </c>
      <c r="B331" s="1854" t="s">
        <v>2221</v>
      </c>
      <c r="C331" s="1855">
        <v>0.15</v>
      </c>
      <c r="D331" s="1855">
        <v>0.15</v>
      </c>
      <c r="E331" s="1855">
        <v>0.15</v>
      </c>
      <c r="F331" s="1856">
        <v>0.15</v>
      </c>
    </row>
    <row r="332" spans="1:6" ht="14.25" thickBot="1">
      <c r="A332" s="1850" t="s">
        <v>2211</v>
      </c>
      <c r="B332" s="1854" t="s">
        <v>1230</v>
      </c>
      <c r="C332" s="1855">
        <v>0.15</v>
      </c>
      <c r="D332" s="1855">
        <v>0.15</v>
      </c>
      <c r="E332" s="1855">
        <v>0.15</v>
      </c>
      <c r="F332" s="1856">
        <v>0.15</v>
      </c>
    </row>
    <row r="333" spans="1:6" ht="14.25" thickBot="1">
      <c r="A333" s="1850" t="s">
        <v>2211</v>
      </c>
      <c r="B333" s="1854" t="s">
        <v>2222</v>
      </c>
      <c r="C333" s="1855">
        <v>0.15</v>
      </c>
      <c r="D333" s="1855">
        <v>0.15</v>
      </c>
      <c r="E333" s="1855">
        <v>0.15</v>
      </c>
      <c r="F333" s="1856">
        <v>0.14099999999999999</v>
      </c>
    </row>
    <row r="334" spans="1:6" ht="14.25" thickBot="1">
      <c r="A334" s="1850" t="s">
        <v>2211</v>
      </c>
      <c r="B334" s="1854" t="s">
        <v>1250</v>
      </c>
      <c r="C334" s="1855">
        <v>0.15</v>
      </c>
      <c r="D334" s="1855">
        <v>0.15</v>
      </c>
      <c r="E334" s="1855">
        <v>0.15</v>
      </c>
      <c r="F334" s="1856">
        <v>0.15</v>
      </c>
    </row>
    <row r="335" spans="1:6" ht="14.25" thickBot="1">
      <c r="A335" s="1850" t="s">
        <v>2211</v>
      </c>
      <c r="B335" s="1854" t="s">
        <v>1260</v>
      </c>
      <c r="C335" s="1855">
        <v>0.15</v>
      </c>
      <c r="D335" s="1855">
        <v>0.15</v>
      </c>
      <c r="E335" s="1855">
        <v>0.15</v>
      </c>
      <c r="F335" s="1863"/>
    </row>
    <row r="336" spans="1:6" ht="14.25" thickBot="1">
      <c r="A336" s="1850" t="s">
        <v>2211</v>
      </c>
      <c r="B336" s="1854" t="s">
        <v>2223</v>
      </c>
      <c r="C336" s="1855">
        <v>0.15</v>
      </c>
      <c r="D336" s="1855">
        <v>0.15</v>
      </c>
      <c r="E336" s="1855">
        <v>0.15</v>
      </c>
      <c r="F336" s="1856">
        <v>0.11799999999999999</v>
      </c>
    </row>
    <row r="337" spans="1:6" ht="14.25" thickBot="1">
      <c r="A337" s="1858" t="s">
        <v>2211</v>
      </c>
      <c r="B337" s="1865" t="s">
        <v>1278</v>
      </c>
      <c r="C337" s="1861"/>
      <c r="D337" s="1861"/>
      <c r="E337" s="1861"/>
      <c r="F337" s="1866">
        <v>0.14299999999999999</v>
      </c>
    </row>
    <row r="338" spans="1:6" ht="14.25" thickBot="1">
      <c r="A338" s="1850" t="s">
        <v>2224</v>
      </c>
      <c r="B338" s="1851" t="s">
        <v>2225</v>
      </c>
      <c r="C338" s="1852">
        <v>0.15</v>
      </c>
      <c r="D338" s="1852">
        <v>0.15</v>
      </c>
      <c r="E338" s="1852">
        <v>0.15</v>
      </c>
      <c r="F338" s="1874"/>
    </row>
    <row r="339" spans="1:6" ht="14.25" thickBot="1">
      <c r="A339" s="1850" t="s">
        <v>2224</v>
      </c>
      <c r="B339" s="1854" t="s">
        <v>2226</v>
      </c>
      <c r="C339" s="1855">
        <v>0.15</v>
      </c>
      <c r="D339" s="1855">
        <v>0.15</v>
      </c>
      <c r="E339" s="1855">
        <v>0.15</v>
      </c>
      <c r="F339" s="1863"/>
    </row>
    <row r="340" spans="1:6" ht="14.25" thickBot="1">
      <c r="A340" s="1850" t="s">
        <v>2224</v>
      </c>
      <c r="B340" s="1854" t="s">
        <v>2227</v>
      </c>
      <c r="C340" s="1855">
        <v>0.15</v>
      </c>
      <c r="D340" s="1855">
        <v>0.15</v>
      </c>
      <c r="E340" s="1855">
        <v>0.15</v>
      </c>
      <c r="F340" s="1863"/>
    </row>
    <row r="341" spans="1:6" ht="14.25" thickBot="1">
      <c r="A341" s="1850" t="s">
        <v>2228</v>
      </c>
      <c r="B341" s="1854" t="s">
        <v>2229</v>
      </c>
      <c r="C341" s="1855">
        <v>0.15</v>
      </c>
      <c r="D341" s="1855">
        <v>0.15</v>
      </c>
      <c r="E341" s="1855">
        <v>0.15</v>
      </c>
      <c r="F341" s="1856">
        <v>0.15</v>
      </c>
    </row>
    <row r="342" spans="1:6" ht="14.25" thickBot="1">
      <c r="A342" s="1850" t="s">
        <v>2224</v>
      </c>
      <c r="B342" s="1854" t="s">
        <v>2230</v>
      </c>
      <c r="C342" s="1855">
        <v>0.15</v>
      </c>
      <c r="D342" s="1855">
        <v>0.15</v>
      </c>
      <c r="E342" s="1855">
        <v>0.15</v>
      </c>
      <c r="F342" s="1856">
        <v>0.15</v>
      </c>
    </row>
    <row r="343" spans="1:6" ht="14.25" thickBot="1">
      <c r="A343" s="1850" t="s">
        <v>2224</v>
      </c>
      <c r="B343" s="1854" t="s">
        <v>2231</v>
      </c>
      <c r="C343" s="1855">
        <v>0.15</v>
      </c>
      <c r="D343" s="1855">
        <v>0.15</v>
      </c>
      <c r="E343" s="1855">
        <v>0.15</v>
      </c>
      <c r="F343" s="1856">
        <v>0.15</v>
      </c>
    </row>
    <row r="344" spans="1:6" ht="14.25" thickBot="1">
      <c r="A344" s="1858" t="s">
        <v>2224</v>
      </c>
      <c r="B344" s="1865" t="s">
        <v>2232</v>
      </c>
      <c r="C344" s="1860">
        <v>0.15</v>
      </c>
      <c r="D344" s="1860">
        <v>0.15</v>
      </c>
      <c r="E344" s="1860">
        <v>0.15</v>
      </c>
      <c r="F344" s="1866">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5" sqref="F35"/>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4" t="s">
        <v>2946</v>
      </c>
      <c r="B1" s="3126"/>
      <c r="C1" s="3126"/>
      <c r="D1" s="3126"/>
      <c r="E1" s="3126"/>
      <c r="F1" s="3126"/>
    </row>
    <row r="2" spans="1:6" ht="14.25">
      <c r="A2" s="3127" t="s">
        <v>2940</v>
      </c>
      <c r="B2" s="3128" t="e">
        <f ca="1">SUMIF(B7:B14,"&lt;&gt;#ref!",B7:B14)</f>
        <v>#DIV/0!</v>
      </c>
      <c r="C2" s="3127" t="s">
        <v>2941</v>
      </c>
      <c r="D2" s="3126"/>
      <c r="E2" s="3126"/>
      <c r="F2" s="3126"/>
    </row>
    <row r="3" spans="1:6" ht="14.25">
      <c r="A3" s="3127" t="s">
        <v>2943</v>
      </c>
      <c r="B3" s="3128" t="e">
        <f ca="1">ROUND(B2*10000/E3,0)</f>
        <v>#DIV/0!</v>
      </c>
      <c r="C3" s="3127" t="s">
        <v>2073</v>
      </c>
      <c r="D3" s="3127" t="s">
        <v>2942</v>
      </c>
      <c r="E3" s="3128" t="e">
        <f ca="1">SUM(E7:E14)</f>
        <v>#REF!</v>
      </c>
      <c r="F3" s="3126"/>
    </row>
    <row r="4" spans="1:6" ht="14.25">
      <c r="A4" s="3127" t="s">
        <v>2950</v>
      </c>
      <c r="B4" s="3128" t="e">
        <f ca="1">ROUND(B2*10000/E4,0)</f>
        <v>#DIV/0!</v>
      </c>
      <c r="C4" s="3127" t="s">
        <v>2073</v>
      </c>
      <c r="D4" s="3127" t="s">
        <v>2951</v>
      </c>
      <c r="E4" s="3128" t="e">
        <f ca="1">SUM(F7:F14)</f>
        <v>#REF!</v>
      </c>
      <c r="F4" s="3126"/>
    </row>
    <row r="5" spans="1:6" ht="14.25">
      <c r="A5" s="3129"/>
      <c r="B5" s="1876"/>
      <c r="C5" s="1876"/>
      <c r="D5" s="1876"/>
      <c r="E5" s="1876"/>
      <c r="F5" s="3126"/>
    </row>
    <row r="6" spans="1:6" ht="28.5">
      <c r="A6" s="3130" t="s">
        <v>2947</v>
      </c>
      <c r="B6" s="3127" t="s">
        <v>2944</v>
      </c>
      <c r="C6" s="3128"/>
      <c r="D6" s="1876"/>
      <c r="E6" s="3127" t="s">
        <v>2945</v>
      </c>
      <c r="F6" s="3127" t="s">
        <v>2949</v>
      </c>
    </row>
    <row r="7" spans="1:6" ht="14.25">
      <c r="A7" s="255" t="s">
        <v>2948</v>
      </c>
      <c r="B7" s="3131" t="e">
        <f ca="1">SUMIF(INDIRECT("'"&amp;A7&amp;"'"&amp;"!A:A"),"总价",INDIRECT("'"&amp;A7&amp;"'"&amp;"!B:B"))</f>
        <v>#DIV/0!</v>
      </c>
      <c r="C7" s="3127" t="s">
        <v>2941</v>
      </c>
      <c r="D7" s="1876"/>
      <c r="E7" s="3132">
        <f ca="1">SUMIF(INDIRECT("'"&amp;A7&amp;"'"&amp;"!C:C"),"建筑面积",INDIRECT("'"&amp;A7&amp;"'"&amp;"!D:D"))</f>
        <v>0</v>
      </c>
      <c r="F7" s="3132">
        <f ca="1">SUMIF(INDIRECT("'"&amp;A7&amp;"'"&amp;"!E:E"),"土地面积",INDIRECT("'"&amp;A7&amp;"'"&amp;"!F:F"))</f>
        <v>0</v>
      </c>
    </row>
    <row r="8" spans="1:6" ht="14.25">
      <c r="A8" s="255"/>
      <c r="B8" s="3131" t="e">
        <f t="shared" ref="B8:B14" ca="1" si="0">SUMIF(INDIRECT("'"&amp;A8&amp;"'"&amp;"!A:A"),"总价",INDIRECT("'"&amp;A8&amp;"'"&amp;"!B:B"))</f>
        <v>#REF!</v>
      </c>
      <c r="C8" s="3127" t="s">
        <v>2941</v>
      </c>
      <c r="D8" s="1876"/>
      <c r="E8" s="3132" t="e">
        <f t="shared" ref="E8:E14" ca="1" si="1">SUMIF(INDIRECT("'"&amp;A8&amp;"'"&amp;"!C:C"),"建筑面积",INDIRECT("'"&amp;A8&amp;"'"&amp;"!D:D"))</f>
        <v>#REF!</v>
      </c>
      <c r="F8" s="3132" t="e">
        <f t="shared" ref="F8:F14" ca="1" si="2">SUMIF(INDIRECT("'"&amp;A8&amp;"'"&amp;"!E:E"),"土地面积",INDIRECT("'"&amp;A8&amp;"'"&amp;"!F:F"))</f>
        <v>#REF!</v>
      </c>
    </row>
    <row r="9" spans="1:6" ht="14.25">
      <c r="A9" s="255"/>
      <c r="B9" s="3131" t="e">
        <f t="shared" ca="1" si="0"/>
        <v>#REF!</v>
      </c>
      <c r="C9" s="3127" t="s">
        <v>2941</v>
      </c>
      <c r="D9" s="1876"/>
      <c r="E9" s="3132" t="e">
        <f t="shared" ca="1" si="1"/>
        <v>#REF!</v>
      </c>
      <c r="F9" s="3132" t="e">
        <f t="shared" ca="1" si="2"/>
        <v>#REF!</v>
      </c>
    </row>
    <row r="10" spans="1:6" ht="14.25">
      <c r="A10" s="255"/>
      <c r="B10" s="3131" t="e">
        <f t="shared" ca="1" si="0"/>
        <v>#REF!</v>
      </c>
      <c r="C10" s="3127" t="s">
        <v>2941</v>
      </c>
      <c r="D10" s="1876"/>
      <c r="E10" s="3132" t="e">
        <f t="shared" ca="1" si="1"/>
        <v>#REF!</v>
      </c>
      <c r="F10" s="3132" t="e">
        <f t="shared" ca="1" si="2"/>
        <v>#REF!</v>
      </c>
    </row>
    <row r="11" spans="1:6" ht="14.25">
      <c r="A11" s="255"/>
      <c r="B11" s="3131" t="e">
        <f t="shared" ca="1" si="0"/>
        <v>#REF!</v>
      </c>
      <c r="C11" s="3127" t="s">
        <v>2941</v>
      </c>
      <c r="D11" s="1876"/>
      <c r="E11" s="3132" t="e">
        <f t="shared" ca="1" si="1"/>
        <v>#REF!</v>
      </c>
      <c r="F11" s="3132" t="e">
        <f t="shared" ca="1" si="2"/>
        <v>#REF!</v>
      </c>
    </row>
    <row r="12" spans="1:6" ht="14.25">
      <c r="A12" s="255"/>
      <c r="B12" s="3131" t="e">
        <f t="shared" ca="1" si="0"/>
        <v>#REF!</v>
      </c>
      <c r="C12" s="3127" t="s">
        <v>2941</v>
      </c>
      <c r="D12" s="1876"/>
      <c r="E12" s="3132" t="e">
        <f t="shared" ca="1" si="1"/>
        <v>#REF!</v>
      </c>
      <c r="F12" s="3132" t="e">
        <f t="shared" ca="1" si="2"/>
        <v>#REF!</v>
      </c>
    </row>
    <row r="13" spans="1:6" ht="14.25">
      <c r="A13" s="255"/>
      <c r="B13" s="3131" t="e">
        <f t="shared" ca="1" si="0"/>
        <v>#REF!</v>
      </c>
      <c r="C13" s="3127" t="s">
        <v>2941</v>
      </c>
      <c r="D13" s="1876"/>
      <c r="E13" s="3132" t="e">
        <f t="shared" ca="1" si="1"/>
        <v>#REF!</v>
      </c>
      <c r="F13" s="3132" t="e">
        <f t="shared" ca="1" si="2"/>
        <v>#REF!</v>
      </c>
    </row>
    <row r="14" spans="1:6" ht="14.25">
      <c r="A14" s="3125"/>
      <c r="B14" s="3131" t="e">
        <f t="shared" ca="1" si="0"/>
        <v>#REF!</v>
      </c>
      <c r="C14" s="3127" t="s">
        <v>2941</v>
      </c>
      <c r="D14" s="1876"/>
      <c r="E14" s="3132" t="e">
        <f t="shared" ca="1" si="1"/>
        <v>#REF!</v>
      </c>
      <c r="F14" s="313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F35" sqref="F35"/>
    </sheetView>
  </sheetViews>
  <sheetFormatPr defaultRowHeight="15"/>
  <cols>
    <col min="1" max="1" width="9" style="2093" customWidth="1"/>
    <col min="2" max="2" width="20.625" style="2094" customWidth="1"/>
    <col min="3" max="3" width="11.875" style="2094" customWidth="1"/>
    <col min="4" max="4" width="40.5" style="2055" customWidth="1"/>
    <col min="5" max="5" width="15.75" style="2055" customWidth="1"/>
    <col min="6" max="6" width="10.625" style="2055" customWidth="1"/>
    <col min="7" max="7" width="4.875" style="2055" customWidth="1"/>
    <col min="8" max="8" width="8.5" style="2055" customWidth="1"/>
    <col min="9" max="9" width="21.25" style="2055" customWidth="1"/>
    <col min="10" max="10" width="12.25" style="2055" customWidth="1"/>
    <col min="11" max="11" width="40.125" style="2095" customWidth="1"/>
    <col min="12" max="12" width="18.375" style="2055" customWidth="1"/>
    <col min="13" max="13" width="13" style="2055" customWidth="1"/>
    <col min="14" max="14" width="9.5" style="2054" bestFit="1" customWidth="1"/>
    <col min="15" max="15" width="8.375" style="2054" customWidth="1"/>
    <col min="16" max="16" width="30.25" style="2054" customWidth="1"/>
    <col min="17" max="17" width="13.75" style="2054" customWidth="1"/>
    <col min="18" max="18" width="22.25" style="2054" customWidth="1"/>
    <col min="19" max="19" width="1.5" style="2054" customWidth="1"/>
    <col min="20" max="25" width="9" style="2054"/>
    <col min="26" max="16384" width="9" style="2055"/>
  </cols>
  <sheetData>
    <row r="1" spans="1:25" s="2049" customFormat="1" ht="21">
      <c r="A1" s="768" t="s">
        <v>622</v>
      </c>
      <c r="B1" s="734"/>
      <c r="C1" s="769"/>
      <c r="D1" s="2045"/>
      <c r="E1" s="2406" t="s">
        <v>2369</v>
      </c>
      <c r="F1" s="2407">
        <f ca="1">J54</f>
        <v>0</v>
      </c>
      <c r="G1" s="770">
        <f>MATCH(C1,'数据-取费表'!A6:A16,0)+5</f>
        <v>11</v>
      </c>
      <c r="H1" s="1345"/>
      <c r="I1" s="2046"/>
      <c r="J1" s="2046"/>
      <c r="K1" s="2047"/>
      <c r="L1" s="2046"/>
      <c r="M1" s="2046"/>
      <c r="N1" s="2048"/>
      <c r="O1" s="2048"/>
      <c r="P1" s="2048"/>
      <c r="Q1" s="2048"/>
      <c r="R1" s="2048"/>
      <c r="S1" s="2048"/>
      <c r="T1" s="2048"/>
      <c r="U1" s="2048"/>
      <c r="V1" s="2048"/>
      <c r="W1" s="2048"/>
      <c r="X1" s="2048"/>
      <c r="Y1" s="2048"/>
    </row>
    <row r="2" spans="1:25" ht="18" customHeight="1">
      <c r="A2" s="1639" t="s">
        <v>623</v>
      </c>
      <c r="B2" s="771">
        <f ca="1">IF(ISERROR(C45+J31),0,C45+J31)</f>
        <v>0</v>
      </c>
      <c r="C2" s="1346"/>
      <c r="D2" s="2050"/>
      <c r="E2" s="2051"/>
      <c r="F2" s="2051"/>
      <c r="G2" s="1585"/>
      <c r="H2" s="1358"/>
      <c r="I2" s="2052"/>
      <c r="J2" s="2052"/>
      <c r="K2" s="2053"/>
      <c r="L2" s="2052"/>
      <c r="M2" s="2052"/>
    </row>
    <row r="3" spans="1:25" ht="18" customHeight="1">
      <c r="A3" s="1640" t="s">
        <v>1680</v>
      </c>
      <c r="B3" s="1386">
        <f ca="1">ROUND(B2*10000/'数据-汇总表'!E3,0)</f>
        <v>0</v>
      </c>
      <c r="C3" s="1346"/>
      <c r="D3" s="2050"/>
      <c r="E3" s="2051"/>
      <c r="F3" s="2051"/>
      <c r="G3" s="1585"/>
      <c r="H3" s="772" t="s">
        <v>689</v>
      </c>
      <c r="I3" s="2052"/>
      <c r="J3" s="2052"/>
      <c r="K3" s="2053"/>
      <c r="L3" s="2052"/>
      <c r="M3" s="2052"/>
    </row>
    <row r="4" spans="1:25" ht="18" customHeight="1">
      <c r="A4" s="1641" t="s">
        <v>690</v>
      </c>
      <c r="B4" s="1347">
        <f ca="1">ROUND(B2*10000/'数据-汇总表'!D3,0)</f>
        <v>0</v>
      </c>
      <c r="C4" s="426"/>
      <c r="D4" s="2050"/>
      <c r="E4" s="2051"/>
      <c r="F4" s="2051"/>
      <c r="G4" s="1585"/>
      <c r="H4" s="772"/>
      <c r="I4" s="2052"/>
      <c r="J4" s="2052"/>
      <c r="K4" s="2053"/>
      <c r="L4" s="2052"/>
      <c r="M4" s="2052"/>
    </row>
    <row r="5" spans="1:25" ht="18" customHeight="1" thickBot="1">
      <c r="A5" s="1642"/>
      <c r="B5" s="428">
        <f ca="1">ROUND(B2/('数据-汇总表'!D3/666.67),0)</f>
        <v>0</v>
      </c>
      <c r="C5" s="429" t="s">
        <v>691</v>
      </c>
      <c r="D5" s="2050"/>
      <c r="E5" s="2051"/>
      <c r="F5" s="2051"/>
      <c r="G5" s="1585"/>
      <c r="H5" s="772"/>
      <c r="I5" s="2052"/>
      <c r="J5" s="2052"/>
      <c r="K5" s="2053"/>
      <c r="L5" s="2052"/>
      <c r="M5" s="2052"/>
    </row>
    <row r="6" spans="1:25" ht="18" customHeight="1">
      <c r="A6" s="1823" t="s">
        <v>692</v>
      </c>
      <c r="B6" s="1815" t="s">
        <v>693</v>
      </c>
      <c r="C6" s="1815" t="s">
        <v>626</v>
      </c>
      <c r="D6" s="1815" t="s">
        <v>627</v>
      </c>
      <c r="E6" s="775" t="s">
        <v>628</v>
      </c>
      <c r="F6" s="776"/>
      <c r="G6" s="1587"/>
      <c r="H6" s="1823" t="s">
        <v>624</v>
      </c>
      <c r="I6" s="1815" t="s">
        <v>625</v>
      </c>
      <c r="J6" s="1815" t="s">
        <v>626</v>
      </c>
      <c r="K6" s="1815" t="s">
        <v>627</v>
      </c>
      <c r="L6" s="775" t="s">
        <v>628</v>
      </c>
      <c r="M6" s="776"/>
    </row>
    <row r="7" spans="1:25" ht="18" customHeight="1">
      <c r="A7" s="777">
        <v>1</v>
      </c>
      <c r="B7" s="778" t="s">
        <v>2454</v>
      </c>
      <c r="C7" s="53">
        <f ca="1">C8+C12+C14</f>
        <v>0</v>
      </c>
      <c r="D7" s="2515" t="s">
        <v>2457</v>
      </c>
      <c r="E7" s="2509"/>
      <c r="F7" s="2510"/>
      <c r="G7" s="1587"/>
      <c r="H7" s="777">
        <v>1</v>
      </c>
      <c r="I7" s="778" t="s">
        <v>2454</v>
      </c>
      <c r="J7" s="53">
        <f ca="1">J8+J12+J14</f>
        <v>0</v>
      </c>
      <c r="K7" s="2515" t="s">
        <v>2457</v>
      </c>
      <c r="L7" s="2509"/>
      <c r="M7" s="2510"/>
    </row>
    <row r="8" spans="1:25" ht="18" customHeight="1">
      <c r="A8" s="1825" t="s">
        <v>1818</v>
      </c>
      <c r="B8" s="3523" t="s">
        <v>2459</v>
      </c>
      <c r="C8" s="1820">
        <f ca="1">ROUND(F8*F10*F9*(1-F11)/10000,0)</f>
        <v>0</v>
      </c>
      <c r="D8" s="1817" t="s">
        <v>2531</v>
      </c>
      <c r="E8" s="61" t="s">
        <v>631</v>
      </c>
      <c r="F8" s="781">
        <f ca="1">INDIRECT("'数据-取费表'!u"&amp;$G$1)</f>
        <v>2.5</v>
      </c>
      <c r="G8" s="1587"/>
      <c r="H8" s="2523" t="s">
        <v>1818</v>
      </c>
      <c r="I8" s="3523" t="s">
        <v>2459</v>
      </c>
      <c r="J8" s="779">
        <f ca="1">ROUND(M8*M10*M9*(1-M11)/10000,0)</f>
        <v>0</v>
      </c>
      <c r="K8" s="339" t="s">
        <v>2531</v>
      </c>
      <c r="L8" s="780" t="s">
        <v>1732</v>
      </c>
      <c r="M8" s="781">
        <f ca="1">INDIRECT("'数据-取费表'!z"&amp;$G$1)</f>
        <v>0</v>
      </c>
    </row>
    <row r="9" spans="1:25" ht="18" customHeight="1">
      <c r="A9" s="2519"/>
      <c r="B9" s="3524"/>
      <c r="C9" s="1821"/>
      <c r="D9" s="1818"/>
      <c r="E9" s="61" t="s">
        <v>632</v>
      </c>
      <c r="F9" s="781">
        <f ca="1">IF(INDIRECT("'数据-取费表'!ah"&amp;$G$1)="",INDIRECT("'数据-取费表'!k"&amp;$G$1),INDIRECT("'数据-取费表'!ah"&amp;$G$1))</f>
        <v>0</v>
      </c>
      <c r="G9" s="1587"/>
      <c r="H9" s="2508"/>
      <c r="I9" s="3524"/>
      <c r="J9" s="784"/>
      <c r="K9" s="785"/>
      <c r="L9" s="780" t="s">
        <v>1733</v>
      </c>
      <c r="M9" s="781">
        <f ca="1">F9</f>
        <v>0</v>
      </c>
    </row>
    <row r="10" spans="1:25" ht="18" customHeight="1">
      <c r="A10" s="2512"/>
      <c r="B10" s="3525"/>
      <c r="C10" s="1821"/>
      <c r="D10" s="1818"/>
      <c r="E10" s="61" t="s">
        <v>633</v>
      </c>
      <c r="F10" s="781">
        <f ca="1">INDIRECT("'数据-取费表'!ai"&amp;$G$1)</f>
        <v>365</v>
      </c>
      <c r="G10" s="1587"/>
      <c r="H10" s="2508"/>
      <c r="I10" s="3525"/>
      <c r="J10" s="784"/>
      <c r="K10" s="785"/>
      <c r="L10" s="780" t="s">
        <v>1734</v>
      </c>
      <c r="M10" s="781">
        <f ca="1">INDIRECT("'数据-取费表'!ai"&amp;$G$1)</f>
        <v>365</v>
      </c>
    </row>
    <row r="11" spans="1:25" ht="18" customHeight="1">
      <c r="A11" s="782"/>
      <c r="B11" s="3526"/>
      <c r="C11" s="1821"/>
      <c r="D11" s="1818"/>
      <c r="E11" s="61" t="s">
        <v>634</v>
      </c>
      <c r="F11" s="790">
        <f ca="1">INDIRECT("'数据-取费表'!w"&amp;$G$1)</f>
        <v>0.15</v>
      </c>
      <c r="G11" s="1587"/>
      <c r="H11" s="2524"/>
      <c r="I11" s="3525"/>
      <c r="J11" s="784"/>
      <c r="K11" s="785"/>
      <c r="L11" s="791" t="s">
        <v>1735</v>
      </c>
      <c r="M11" s="792">
        <f ca="1">INDIRECT("'数据-取费表'!ab"&amp;$G$1)</f>
        <v>0</v>
      </c>
    </row>
    <row r="12" spans="1:25" ht="18" customHeight="1">
      <c r="A12" s="1825" t="s">
        <v>1819</v>
      </c>
      <c r="B12" s="2513" t="s">
        <v>2455</v>
      </c>
      <c r="C12" s="795">
        <f ca="1">ROUND(IF(F12="押一",F8*F10*F9/12*F13,IF(F12="押二",F8*F10*F9/12*2*F13,IF(F12="押三",F8*F10*F9/12*3*F13,C13*F13)))/10000,0)</f>
        <v>0</v>
      </c>
      <c r="D12" s="2520" t="s">
        <v>2462</v>
      </c>
      <c r="E12" s="2517" t="s">
        <v>2460</v>
      </c>
      <c r="F12" s="2640"/>
      <c r="G12" s="1587"/>
      <c r="H12" s="2580" t="s">
        <v>1819</v>
      </c>
      <c r="I12" s="2585" t="s">
        <v>2455</v>
      </c>
      <c r="J12" s="779">
        <f ca="1">ROUND(IF(M12="押一",M8*M10*M9/12*M13,IF(M12="押二",M8*M10*M9/12*2*M13,IF(M12="押三",M8*M10*M9/12*3*M13,J13*M13)))/10000,0)</f>
        <v>0</v>
      </c>
      <c r="K12" s="2520" t="s">
        <v>2462</v>
      </c>
      <c r="L12" s="2517" t="s">
        <v>2460</v>
      </c>
      <c r="M12" s="2640"/>
    </row>
    <row r="13" spans="1:25" ht="18" customHeight="1">
      <c r="A13" s="786"/>
      <c r="B13" s="2514" t="s">
        <v>2570</v>
      </c>
      <c r="C13" s="2518"/>
      <c r="D13" s="785"/>
      <c r="E13" s="2517" t="s">
        <v>2452</v>
      </c>
      <c r="F13" s="792">
        <f ca="1">'数据-取费表'!B39</f>
        <v>1.4999999999999999E-2</v>
      </c>
      <c r="G13" s="1587"/>
      <c r="H13" s="2581"/>
      <c r="I13" s="2514" t="s">
        <v>2570</v>
      </c>
      <c r="J13" s="2518"/>
      <c r="K13" s="2582"/>
      <c r="L13" s="2517" t="s">
        <v>2452</v>
      </c>
      <c r="M13" s="2511">
        <f ca="1">'数据-取费表'!B39</f>
        <v>1.4999999999999999E-2</v>
      </c>
    </row>
    <row r="14" spans="1:25" ht="18" customHeight="1" thickBot="1">
      <c r="A14" s="2556" t="s">
        <v>2464</v>
      </c>
      <c r="B14" s="2557" t="s">
        <v>2456</v>
      </c>
      <c r="C14" s="2558"/>
      <c r="D14" s="2559"/>
      <c r="E14" s="2560"/>
      <c r="F14" s="2561"/>
      <c r="G14" s="1587"/>
      <c r="H14" s="2570" t="s">
        <v>2464</v>
      </c>
      <c r="I14" s="2583" t="s">
        <v>2456</v>
      </c>
      <c r="J14" s="2584"/>
      <c r="K14" s="2559"/>
      <c r="L14" s="2560"/>
      <c r="M14" s="2573"/>
    </row>
    <row r="15" spans="1:25" ht="18" customHeight="1" thickTop="1">
      <c r="A15" s="1824" t="s">
        <v>1868</v>
      </c>
      <c r="B15" s="1822" t="s">
        <v>635</v>
      </c>
      <c r="C15" s="788">
        <f ca="1">ROUND(C31*F15,0)</f>
        <v>0</v>
      </c>
      <c r="D15" s="1829" t="s">
        <v>636</v>
      </c>
      <c r="E15" s="791" t="s">
        <v>637</v>
      </c>
      <c r="F15" s="796">
        <f ca="1">INDIRECT("'数据-取费表'!y"&amp;$G$1)</f>
        <v>1</v>
      </c>
      <c r="G15" s="1587"/>
      <c r="H15" s="1824" t="s">
        <v>1820</v>
      </c>
      <c r="I15" s="1822" t="s">
        <v>638</v>
      </c>
      <c r="J15" s="1814">
        <f ca="1">ROUND(J16*J17,0)</f>
        <v>0</v>
      </c>
      <c r="K15" s="1816" t="s">
        <v>636</v>
      </c>
      <c r="L15" s="797"/>
      <c r="M15" s="798"/>
    </row>
    <row r="16" spans="1:25" ht="18" customHeight="1">
      <c r="A16" s="799" t="s">
        <v>1869</v>
      </c>
      <c r="B16" s="780" t="s">
        <v>639</v>
      </c>
      <c r="C16" s="800">
        <f ca="1">INDIRECT("'数据-取费表'!m"&amp;$G$1)+INDIRECT("'数据-取费表'!t"&amp;$G$1)</f>
        <v>0</v>
      </c>
      <c r="D16" s="1974" t="s">
        <v>640</v>
      </c>
      <c r="E16" s="1975"/>
      <c r="F16" s="801"/>
      <c r="G16" s="1587"/>
      <c r="H16" s="799" t="s">
        <v>2064</v>
      </c>
      <c r="I16" s="2226" t="s">
        <v>2824</v>
      </c>
      <c r="J16" s="53">
        <f ca="1">C31</f>
        <v>0</v>
      </c>
      <c r="K16" s="26"/>
      <c r="L16" s="797"/>
      <c r="M16" s="798"/>
    </row>
    <row r="17" spans="1:25" s="2059" customFormat="1" ht="18" customHeight="1">
      <c r="A17" s="799" t="s">
        <v>1843</v>
      </c>
      <c r="B17" s="780" t="s">
        <v>641</v>
      </c>
      <c r="C17" s="53">
        <f ca="1">ROUND(C16*F17,0)</f>
        <v>0</v>
      </c>
      <c r="D17" s="802" t="s">
        <v>642</v>
      </c>
      <c r="E17" s="802" t="s">
        <v>643</v>
      </c>
      <c r="F17" s="803">
        <f>'数据-取费表'!B33</f>
        <v>0.05</v>
      </c>
      <c r="G17" s="1588"/>
      <c r="H17" s="799" t="s">
        <v>2065</v>
      </c>
      <c r="I17" s="780" t="s">
        <v>637</v>
      </c>
      <c r="J17" s="804">
        <f ca="1">INDIRECT("'数据-取费表'!ad"&amp;$G$1)</f>
        <v>0</v>
      </c>
      <c r="K17" s="26"/>
      <c r="L17" s="797"/>
      <c r="M17" s="798"/>
      <c r="N17" s="2058"/>
      <c r="O17" s="2058"/>
      <c r="P17" s="2058"/>
      <c r="Q17" s="2058"/>
      <c r="R17" s="2058"/>
      <c r="S17" s="2058"/>
      <c r="T17" s="2058"/>
      <c r="U17" s="2058"/>
      <c r="V17" s="2058"/>
      <c r="W17" s="2058"/>
      <c r="X17" s="2058"/>
      <c r="Y17" s="2058"/>
    </row>
    <row r="18" spans="1:25" ht="18" customHeight="1">
      <c r="A18" s="799" t="s">
        <v>1844</v>
      </c>
      <c r="B18" s="780" t="s">
        <v>644</v>
      </c>
      <c r="C18" s="53">
        <f ca="1">ROUND(INDIRECT("'数据-取费表'!m"&amp;$G$1)*F18,0)</f>
        <v>0</v>
      </c>
      <c r="D18" s="780" t="s">
        <v>642</v>
      </c>
      <c r="E18" s="780" t="s">
        <v>643</v>
      </c>
      <c r="F18" s="805">
        <f ca="1">IF(INDIRECT("'数据-取费表'!c"&amp;$G$1)="住宅",'数据-取费表'!B34,0)</f>
        <v>0</v>
      </c>
      <c r="G18" s="1587"/>
      <c r="H18" s="793" t="s">
        <v>1821</v>
      </c>
      <c r="I18" s="794" t="s">
        <v>645</v>
      </c>
      <c r="J18" s="795">
        <f ca="1">ROUND(J19+J24+J25+J26,0)</f>
        <v>0</v>
      </c>
      <c r="K18" s="26" t="s">
        <v>646</v>
      </c>
      <c r="L18" s="1977"/>
      <c r="M18" s="56"/>
    </row>
    <row r="19" spans="1:25" s="2059" customFormat="1" ht="18" customHeight="1">
      <c r="A19" s="799" t="s">
        <v>1845</v>
      </c>
      <c r="B19" s="780" t="s">
        <v>647</v>
      </c>
      <c r="C19" s="53">
        <f ca="1">ROUND(F19*(INDIRECT("'数据-取费表'!k"&amp;$G$1)+INDIRECT("'数据-取费表'!S"&amp;$G$1))/10000,0)</f>
        <v>0</v>
      </c>
      <c r="D19" s="780" t="s">
        <v>648</v>
      </c>
      <c r="E19" s="780" t="s">
        <v>649</v>
      </c>
      <c r="F19" s="56">
        <f>'数据-取费表'!B35</f>
        <v>200</v>
      </c>
      <c r="G19" s="1588"/>
      <c r="H19" s="799" t="s">
        <v>2064</v>
      </c>
      <c r="I19" s="780" t="s">
        <v>650</v>
      </c>
      <c r="J19" s="53">
        <f ca="1">ROUND(IF(项目基本情况!B11="自然人",J7*M19,J20+J21+J22),0)</f>
        <v>0</v>
      </c>
      <c r="K19" s="1974" t="s">
        <v>651</v>
      </c>
      <c r="L19" s="1972" t="s">
        <v>652</v>
      </c>
      <c r="M19" s="806" t="str">
        <f ca="1">IF(项目基本情况!B11="企业","",IF(INDIRECT("'数据-取费表'!c"&amp;$G$1)="住宅",5%,IF(M8*M9*M10/12/(1+'数据-取费表'!C42)&gt;20000,12%,7%)))</f>
        <v/>
      </c>
      <c r="N19" s="2058"/>
      <c r="O19" s="2058"/>
      <c r="P19" s="2058"/>
      <c r="Q19" s="2058"/>
      <c r="R19" s="2058"/>
      <c r="S19" s="2058"/>
      <c r="T19" s="2058"/>
      <c r="U19" s="2058"/>
      <c r="V19" s="2058"/>
      <c r="W19" s="2058"/>
      <c r="X19" s="2058"/>
      <c r="Y19" s="2058"/>
    </row>
    <row r="20" spans="1:25" s="2059" customFormat="1" ht="18" customHeight="1">
      <c r="A20" s="799" t="s">
        <v>1846</v>
      </c>
      <c r="B20" s="780" t="s">
        <v>653</v>
      </c>
      <c r="C20" s="53">
        <f ca="1">ROUND(C16*F20,0)</f>
        <v>0</v>
      </c>
      <c r="D20" s="780" t="s">
        <v>642</v>
      </c>
      <c r="E20" s="780" t="s">
        <v>643</v>
      </c>
      <c r="F20" s="805">
        <f>'数据-取费表'!B36</f>
        <v>1.4999999999999999E-2</v>
      </c>
      <c r="G20" s="1588"/>
      <c r="H20" s="799" t="s">
        <v>1825</v>
      </c>
      <c r="I20" s="780" t="s">
        <v>654</v>
      </c>
      <c r="J20" s="53">
        <f ca="1">ROUND(J7*M20/1.05,1)</f>
        <v>0</v>
      </c>
      <c r="K20" s="1972" t="s">
        <v>655</v>
      </c>
      <c r="L20" s="780" t="s">
        <v>643</v>
      </c>
      <c r="M20" s="805">
        <f>'数据-取费表'!B41</f>
        <v>5.6000000000000001E-2</v>
      </c>
      <c r="N20" s="2058"/>
      <c r="O20" s="2058"/>
      <c r="P20" s="2058"/>
      <c r="Q20" s="2058"/>
      <c r="R20" s="2058"/>
      <c r="S20" s="2058"/>
      <c r="T20" s="2058"/>
      <c r="U20" s="2058"/>
      <c r="V20" s="2058"/>
      <c r="W20" s="2058"/>
      <c r="X20" s="2058"/>
      <c r="Y20" s="2058"/>
    </row>
    <row r="21" spans="1:25" ht="18" customHeight="1">
      <c r="A21" s="799" t="s">
        <v>1870</v>
      </c>
      <c r="B21" s="780" t="s">
        <v>656</v>
      </c>
      <c r="C21" s="53">
        <f ca="1">SUM(C16:C20)</f>
        <v>0</v>
      </c>
      <c r="D21" s="256" t="s">
        <v>657</v>
      </c>
      <c r="E21" s="1977"/>
      <c r="F21" s="56"/>
      <c r="G21" s="1587"/>
      <c r="H21" s="1825" t="s">
        <v>1843</v>
      </c>
      <c r="I21" s="780" t="s">
        <v>658</v>
      </c>
      <c r="J21" s="53">
        <f ca="1">IF(K21="按租金收入计税",ROUND(J7*M21,1),ROUND(C31*F35*0.7,1))</f>
        <v>0</v>
      </c>
      <c r="K21" s="807" t="s">
        <v>659</v>
      </c>
      <c r="L21" s="780" t="s">
        <v>643</v>
      </c>
      <c r="M21" s="805">
        <f>IF(K21="按租金收入计税",'数据-取费表'!B51,'数据-取费表'!B50)</f>
        <v>1.2E-2</v>
      </c>
    </row>
    <row r="22" spans="1:25" s="2059" customFormat="1" ht="18" customHeight="1">
      <c r="A22" s="799" t="s">
        <v>1871</v>
      </c>
      <c r="B22" s="780" t="s">
        <v>660</v>
      </c>
      <c r="C22" s="53">
        <f ca="1">ROUND(C21*F22,0)</f>
        <v>0</v>
      </c>
      <c r="D22" s="808" t="s">
        <v>661</v>
      </c>
      <c r="E22" s="780" t="s">
        <v>643</v>
      </c>
      <c r="F22" s="805">
        <f>'数据-取费表'!B37</f>
        <v>0.02</v>
      </c>
      <c r="G22" s="1588"/>
      <c r="H22" s="1827" t="s">
        <v>1844</v>
      </c>
      <c r="I22" s="1817" t="s">
        <v>662</v>
      </c>
      <c r="J22" s="54">
        <f ca="1">ROUND(M22*M23/10000,0)</f>
        <v>0</v>
      </c>
      <c r="K22" s="810" t="s">
        <v>663</v>
      </c>
      <c r="L22" s="780" t="s">
        <v>664</v>
      </c>
      <c r="M22" s="636">
        <f>'数据-取费表'!B52</f>
        <v>20</v>
      </c>
      <c r="N22" s="2058"/>
      <c r="O22" s="2058"/>
      <c r="P22" s="2058"/>
      <c r="Q22" s="2058"/>
      <c r="R22" s="2058"/>
      <c r="S22" s="2058"/>
      <c r="T22" s="2058"/>
      <c r="U22" s="2058"/>
      <c r="V22" s="2058"/>
      <c r="W22" s="2058"/>
      <c r="X22" s="2058"/>
      <c r="Y22" s="2058"/>
    </row>
    <row r="23" spans="1:25" s="2059" customFormat="1" ht="18" customHeight="1">
      <c r="A23" s="799" t="s">
        <v>1872</v>
      </c>
      <c r="B23" s="780" t="s">
        <v>665</v>
      </c>
      <c r="C23" s="53" t="s">
        <v>1</v>
      </c>
      <c r="D23" s="808" t="s">
        <v>666</v>
      </c>
      <c r="E23" s="780" t="s">
        <v>667</v>
      </c>
      <c r="F23" s="805">
        <f>'数据-取费表'!B38</f>
        <v>0.02</v>
      </c>
      <c r="G23" s="1588"/>
      <c r="H23" s="1828"/>
      <c r="I23" s="1819"/>
      <c r="J23" s="69"/>
      <c r="K23" s="812"/>
      <c r="L23" s="780" t="s">
        <v>668</v>
      </c>
      <c r="M23" s="781">
        <f ca="1">INDIRECT("'数据-取费表'!r"&amp;$G$1)</f>
        <v>0</v>
      </c>
      <c r="N23" s="2058"/>
      <c r="O23" s="2058"/>
      <c r="P23" s="2058"/>
      <c r="Q23" s="2058"/>
      <c r="R23" s="2058"/>
      <c r="S23" s="2058"/>
      <c r="T23" s="2058"/>
      <c r="U23" s="2058"/>
      <c r="V23" s="2058"/>
      <c r="W23" s="2058"/>
      <c r="X23" s="2058"/>
      <c r="Y23" s="2058"/>
    </row>
    <row r="24" spans="1:25" ht="18" customHeight="1">
      <c r="A24" s="799" t="s">
        <v>1873</v>
      </c>
      <c r="B24" s="780" t="s">
        <v>669</v>
      </c>
      <c r="C24" s="53"/>
      <c r="D24" s="2591" t="str">
        <f>IF(F25&lt;=1,"单利计息。","复利计息。")&amp;"建造成本、管理费用、销售费用产生的利息。"</f>
        <v>复利计息。建造成本、管理费用、销售费用产生的利息。</v>
      </c>
      <c r="E24" s="1977"/>
      <c r="F24" s="56"/>
      <c r="G24" s="1587"/>
      <c r="H24" s="1826" t="s">
        <v>2065</v>
      </c>
      <c r="I24" s="780" t="s">
        <v>670</v>
      </c>
      <c r="J24" s="53">
        <f ca="1">ROUND(J16*M24,0)</f>
        <v>0</v>
      </c>
      <c r="K24" s="1972" t="s">
        <v>671</v>
      </c>
      <c r="L24" s="780" t="s">
        <v>643</v>
      </c>
      <c r="M24" s="813">
        <f ca="1">INDIRECT("'数据-取费表'!Ak"&amp;$G$1)</f>
        <v>1.4999999999999999E-2</v>
      </c>
    </row>
    <row r="25" spans="1:25" s="2059" customFormat="1" ht="18" customHeight="1">
      <c r="A25" s="799" t="s">
        <v>1869</v>
      </c>
      <c r="B25" s="780" t="s">
        <v>2432</v>
      </c>
      <c r="C25" s="53">
        <f ca="1">ROUND(IF('数据-取费表'!B22&lt;=1,(C21+C22)*F26*F25/2,(C21+C22)*(POWER((1+F26),F25/2)-1)),0)</f>
        <v>0</v>
      </c>
      <c r="D25" s="2590" t="str">
        <f>IF(F25&lt;=1,"(建造成本+管理费用)×利率×(建设周期÷2)","(建造成本+管理费用)×((1+利率)^(建设周期÷2)-1)")</f>
        <v>(建造成本+管理费用)×((1+利率)^(建设周期÷2)-1)</v>
      </c>
      <c r="E25" s="780" t="s">
        <v>672</v>
      </c>
      <c r="F25" s="636">
        <f>'数据-取费表'!B20</f>
        <v>3</v>
      </c>
      <c r="G25" s="1588"/>
      <c r="H25" s="799" t="s">
        <v>1872</v>
      </c>
      <c r="I25" s="780" t="s">
        <v>673</v>
      </c>
      <c r="J25" s="53">
        <f ca="1">ROUND(J15*M25,0)</f>
        <v>0</v>
      </c>
      <c r="K25" s="1972" t="s">
        <v>674</v>
      </c>
      <c r="L25" s="780" t="s">
        <v>643</v>
      </c>
      <c r="M25" s="814">
        <f ca="1">INDIRECT("'数据-取费表'!Al"&amp;$G$1)</f>
        <v>1.5E-3</v>
      </c>
      <c r="N25" s="2058"/>
      <c r="O25" s="2058"/>
      <c r="P25" s="2058"/>
      <c r="Q25" s="2058"/>
      <c r="R25" s="2058"/>
      <c r="S25" s="2058"/>
      <c r="T25" s="2058"/>
      <c r="U25" s="2058"/>
      <c r="V25" s="2058"/>
      <c r="W25" s="2058"/>
      <c r="X25" s="2058"/>
      <c r="Y25" s="2058"/>
    </row>
    <row r="26" spans="1:25" s="2059" customFormat="1" ht="18" customHeight="1">
      <c r="A26" s="799" t="s">
        <v>1843</v>
      </c>
      <c r="B26" s="780" t="s">
        <v>675</v>
      </c>
      <c r="C26" s="53">
        <f ca="1">ROUND(IF('数据-取费表'!B22&lt;=1,F23*F26*F25/2,F23*(POWER((1+F26),F25/2)-1)),4)</f>
        <v>1.4E-3</v>
      </c>
      <c r="D26" s="2590" t="str">
        <f>IF(F25&lt;=1,"销售费用×利率×(建设周期÷2)","销售费用×((1+利率)^(建设周期÷2)-1)")</f>
        <v>销售费用×((1+利率)^(建设周期÷2)-1)</v>
      </c>
      <c r="E26" s="780" t="s">
        <v>676</v>
      </c>
      <c r="F26" s="815">
        <f ca="1">'数据-取费表'!B40</f>
        <v>4.7500000000000001E-2</v>
      </c>
      <c r="G26" s="1588"/>
      <c r="H26" s="799" t="s">
        <v>1873</v>
      </c>
      <c r="I26" s="780" t="s">
        <v>660</v>
      </c>
      <c r="J26" s="53">
        <f ca="1">ROUND(J7*M26,0)</f>
        <v>0</v>
      </c>
      <c r="K26" s="1972" t="s">
        <v>677</v>
      </c>
      <c r="L26" s="780" t="s">
        <v>643</v>
      </c>
      <c r="M26" s="790">
        <f ca="1">INDIRECT("'数据-取费表'!Am"&amp;$G$1)</f>
        <v>0.01</v>
      </c>
      <c r="N26" s="2058"/>
      <c r="O26" s="2058"/>
      <c r="P26" s="2058"/>
      <c r="Q26" s="2058"/>
      <c r="R26" s="2058"/>
      <c r="S26" s="2058"/>
      <c r="T26" s="2058"/>
      <c r="U26" s="2058"/>
      <c r="V26" s="2058"/>
      <c r="W26" s="2058"/>
      <c r="X26" s="2058"/>
      <c r="Y26" s="2058"/>
    </row>
    <row r="27" spans="1:25" ht="18" customHeight="1">
      <c r="A27" s="799" t="s">
        <v>1875</v>
      </c>
      <c r="B27" s="780" t="s">
        <v>678</v>
      </c>
      <c r="C27" s="53"/>
      <c r="D27" s="256" t="s">
        <v>679</v>
      </c>
      <c r="E27" s="1977"/>
      <c r="F27" s="56"/>
      <c r="G27" s="1587"/>
      <c r="H27" s="793" t="s">
        <v>1822</v>
      </c>
      <c r="I27" s="3032" t="s">
        <v>2821</v>
      </c>
      <c r="J27" s="795">
        <f ca="1">J7-J18</f>
        <v>0</v>
      </c>
      <c r="K27" s="1974" t="s">
        <v>694</v>
      </c>
      <c r="L27" s="1976"/>
      <c r="M27" s="816"/>
    </row>
    <row r="28" spans="1:25" ht="18" customHeight="1">
      <c r="A28" s="799" t="s">
        <v>1869</v>
      </c>
      <c r="B28" s="780" t="s">
        <v>2433</v>
      </c>
      <c r="C28" s="53">
        <f ca="1">ROUND((C21+C22)*F28,0)</f>
        <v>0</v>
      </c>
      <c r="D28" s="808" t="s">
        <v>695</v>
      </c>
      <c r="E28" s="791" t="s">
        <v>696</v>
      </c>
      <c r="F28" s="790">
        <f ca="1">INDIRECT("'数据-取费表'!q"&amp;$G$1)</f>
        <v>0</v>
      </c>
      <c r="G28" s="1587"/>
      <c r="H28" s="777" t="s">
        <v>1831</v>
      </c>
      <c r="I28" s="778" t="s">
        <v>697</v>
      </c>
      <c r="J28" s="779">
        <f ca="1">IF(J7&lt;&gt;0,ROUND(J27*(1-((1+M30)/(1+M28))^M29)/(M28-M30),0),0)</f>
        <v>0</v>
      </c>
      <c r="K28" s="810" t="s">
        <v>698</v>
      </c>
      <c r="L28" s="780" t="s">
        <v>699</v>
      </c>
      <c r="M28" s="790">
        <f ca="1">INDIRECT("'数据-取费表'!I"&amp;$G$1)</f>
        <v>0</v>
      </c>
    </row>
    <row r="29" spans="1:25" ht="18" customHeight="1">
      <c r="A29" s="799" t="s">
        <v>1843</v>
      </c>
      <c r="B29" s="780" t="s">
        <v>680</v>
      </c>
      <c r="C29" s="53">
        <f ca="1">ROUND(F23*F28,4)</f>
        <v>0</v>
      </c>
      <c r="D29" s="808" t="s">
        <v>700</v>
      </c>
      <c r="E29" s="802"/>
      <c r="F29" s="803"/>
      <c r="G29" s="1587"/>
      <c r="H29" s="782"/>
      <c r="I29" s="783"/>
      <c r="J29" s="784"/>
      <c r="K29" s="817" t="s">
        <v>701</v>
      </c>
      <c r="L29" s="780" t="s">
        <v>702</v>
      </c>
      <c r="M29" s="818">
        <f ca="1">INDIRECT("'数据-取费表'!ag"&amp;$G$1)</f>
        <v>0</v>
      </c>
    </row>
    <row r="30" spans="1:25" s="2059" customFormat="1" ht="18" customHeight="1">
      <c r="A30" s="799" t="s">
        <v>1876</v>
      </c>
      <c r="B30" s="780" t="s">
        <v>681</v>
      </c>
      <c r="C30" s="53">
        <f>ROUND(F30/(1+'数据-取费表'!C42),4)</f>
        <v>5.33E-2</v>
      </c>
      <c r="D30" s="808" t="s">
        <v>703</v>
      </c>
      <c r="E30" s="780" t="s">
        <v>643</v>
      </c>
      <c r="F30" s="805">
        <f>'数据-取费表'!B41</f>
        <v>5.6000000000000001E-2</v>
      </c>
      <c r="G30" s="1588"/>
      <c r="H30" s="786"/>
      <c r="I30" s="787"/>
      <c r="J30" s="788"/>
      <c r="K30" s="812"/>
      <c r="L30" s="780" t="s">
        <v>704</v>
      </c>
      <c r="M30" s="790">
        <f ca="1">INDIRECT("'数据-取费表'!aa"&amp;$G$1)</f>
        <v>0</v>
      </c>
      <c r="N30" s="2058"/>
      <c r="O30" s="2058"/>
      <c r="P30" s="2058"/>
      <c r="Q30" s="2058"/>
      <c r="R30" s="2058"/>
      <c r="S30" s="2058"/>
      <c r="T30" s="2058"/>
      <c r="U30" s="2058"/>
      <c r="V30" s="2058"/>
      <c r="W30" s="2058"/>
      <c r="X30" s="2058"/>
      <c r="Y30" s="2058"/>
    </row>
    <row r="31" spans="1:25" s="2059" customFormat="1" ht="18" customHeight="1" thickBot="1">
      <c r="A31" s="2579" t="s">
        <v>1877</v>
      </c>
      <c r="B31" s="2560" t="s">
        <v>2822</v>
      </c>
      <c r="C31" s="2563">
        <f ca="1">ROUND((C21+C22+C25+C28)/(1-F23-C26-C29-C30),0)</f>
        <v>0</v>
      </c>
      <c r="D31" s="2564"/>
      <c r="E31" s="2565"/>
      <c r="F31" s="2566"/>
      <c r="G31" s="1588"/>
      <c r="H31" s="819" t="s">
        <v>1866</v>
      </c>
      <c r="I31" s="3033" t="s">
        <v>2823</v>
      </c>
      <c r="J31" s="821" t="e">
        <f ca="1">ROUND(J28/(1+F45)^F46,0)</f>
        <v>#N/A</v>
      </c>
      <c r="K31" s="822" t="s">
        <v>682</v>
      </c>
      <c r="L31" s="823"/>
      <c r="M31" s="824">
        <f ca="1">INDIRECT("'数据-取费表'!k"&amp;$G$1)</f>
        <v>0</v>
      </c>
      <c r="N31" s="2058"/>
      <c r="O31" s="2058"/>
      <c r="P31" s="2058"/>
      <c r="Q31" s="2058"/>
      <c r="R31" s="2058"/>
      <c r="S31" s="2058"/>
      <c r="T31" s="2058"/>
      <c r="U31" s="2058"/>
      <c r="V31" s="2058"/>
      <c r="W31" s="2058"/>
      <c r="X31" s="2058"/>
      <c r="Y31" s="2058"/>
    </row>
    <row r="32" spans="1:25" ht="18" customHeight="1" thickTop="1">
      <c r="A32" s="1824" t="s">
        <v>7</v>
      </c>
      <c r="B32" s="1822" t="s">
        <v>683</v>
      </c>
      <c r="C32" s="788">
        <f ca="1">ROUND(C33+C38+C39+C40,0)</f>
        <v>0</v>
      </c>
      <c r="D32" s="1816" t="s">
        <v>646</v>
      </c>
      <c r="E32" s="2506"/>
      <c r="F32" s="2510"/>
      <c r="G32" s="2057"/>
      <c r="H32" s="2060"/>
      <c r="I32" s="2061"/>
      <c r="J32" s="2062"/>
      <c r="K32" s="2063"/>
      <c r="L32" s="2064"/>
      <c r="M32" s="2065"/>
    </row>
    <row r="33" spans="1:18" ht="18" customHeight="1">
      <c r="A33" s="799" t="s">
        <v>1870</v>
      </c>
      <c r="B33" s="780" t="s">
        <v>650</v>
      </c>
      <c r="C33" s="53">
        <f ca="1">ROUND(IF(项目基本情况!B11="自然人",C7*F33,C34+C35+C36),1)</f>
        <v>0</v>
      </c>
      <c r="D33" s="1974" t="s">
        <v>651</v>
      </c>
      <c r="E33" s="1972" t="s">
        <v>684</v>
      </c>
      <c r="F33" s="806" t="str">
        <f ca="1">IF(项目基本情况!B11="企业","",IF(INDIRECT("'数据-取费表'!c"&amp;$G$1)="住宅",5%,IF(F8*F9*F10/12/(1+'数据-取费表'!C42)&gt;20000,12%,7%)))</f>
        <v/>
      </c>
      <c r="G33" s="2057"/>
      <c r="H33" s="2060"/>
      <c r="I33" s="2061"/>
      <c r="J33" s="2062"/>
      <c r="K33" s="2063"/>
      <c r="L33" s="2064"/>
      <c r="M33" s="2065"/>
    </row>
    <row r="34" spans="1:18" ht="18" customHeight="1">
      <c r="A34" s="799" t="s">
        <v>1869</v>
      </c>
      <c r="B34" s="780" t="s">
        <v>654</v>
      </c>
      <c r="C34" s="53">
        <f ca="1">ROUND(C7*F34/1.05,1)</f>
        <v>0</v>
      </c>
      <c r="D34" s="1972" t="s">
        <v>655</v>
      </c>
      <c r="E34" s="780" t="s">
        <v>643</v>
      </c>
      <c r="F34" s="805">
        <f>'数据-取费表'!B41</f>
        <v>5.6000000000000001E-2</v>
      </c>
      <c r="G34" s="2057"/>
      <c r="H34" s="2066"/>
      <c r="I34" s="2067"/>
      <c r="J34" s="2068"/>
      <c r="K34" s="2069"/>
      <c r="L34" s="2070"/>
      <c r="M34" s="2071"/>
    </row>
    <row r="35" spans="1:18" ht="18" customHeight="1">
      <c r="A35" s="799" t="s">
        <v>1843</v>
      </c>
      <c r="B35" s="780" t="s">
        <v>658</v>
      </c>
      <c r="C35" s="53">
        <f ca="1">IF(D35="按租金收入计税",ROUND(C7*F35,1),IF(D35="按房产原值计税",ROUND(C31*F35*0.7,1),INDIRECT("'数据-取费表'!Aj"&amp;$G$1)))</f>
        <v>0</v>
      </c>
      <c r="D35" s="807" t="s">
        <v>1674</v>
      </c>
      <c r="E35" s="780" t="s">
        <v>643</v>
      </c>
      <c r="F35" s="805">
        <f>IF(D35="按租金收入计税",'数据-取费表'!B51,'数据-取费表'!B50)</f>
        <v>1.2E-2</v>
      </c>
      <c r="G35" s="2057"/>
      <c r="H35" s="2072"/>
      <c r="I35" s="2072"/>
      <c r="J35" s="2072"/>
      <c r="K35" s="2073"/>
      <c r="L35" s="2072"/>
      <c r="M35" s="2072"/>
    </row>
    <row r="36" spans="1:18" ht="18" customHeight="1">
      <c r="A36" s="809" t="s">
        <v>1874</v>
      </c>
      <c r="B36" s="339" t="s">
        <v>662</v>
      </c>
      <c r="C36" s="54">
        <f ca="1">ROUND(F36*F37/10000,1)</f>
        <v>0</v>
      </c>
      <c r="D36" s="810" t="s">
        <v>663</v>
      </c>
      <c r="E36" s="780" t="s">
        <v>664</v>
      </c>
      <c r="F36" s="636">
        <f>'数据-取费表'!B52</f>
        <v>20</v>
      </c>
      <c r="G36" s="2057"/>
      <c r="H36" s="2060"/>
      <c r="I36" s="3522"/>
      <c r="J36" s="2074"/>
      <c r="K36" s="2075"/>
      <c r="L36" s="2074"/>
      <c r="M36" s="2074"/>
    </row>
    <row r="37" spans="1:18" ht="18" customHeight="1">
      <c r="A37" s="811"/>
      <c r="B37" s="789"/>
      <c r="C37" s="69"/>
      <c r="D37" s="812"/>
      <c r="E37" s="780" t="s">
        <v>668</v>
      </c>
      <c r="F37" s="781">
        <f ca="1">INDIRECT("'数据-取费表'!r"&amp;$G$1)</f>
        <v>0</v>
      </c>
      <c r="G37" s="2057"/>
      <c r="H37" s="2060"/>
      <c r="I37" s="3522"/>
      <c r="J37" s="2072"/>
      <c r="K37" s="2073"/>
      <c r="L37" s="2072"/>
      <c r="M37" s="2072"/>
    </row>
    <row r="38" spans="1:18" ht="18" customHeight="1">
      <c r="A38" s="799" t="s">
        <v>1871</v>
      </c>
      <c r="B38" s="780" t="s">
        <v>670</v>
      </c>
      <c r="C38" s="53">
        <f ca="1">ROUND(C31*F38,1)</f>
        <v>0</v>
      </c>
      <c r="D38" s="1972" t="s">
        <v>685</v>
      </c>
      <c r="E38" s="780" t="s">
        <v>643</v>
      </c>
      <c r="F38" s="813">
        <f ca="1">INDIRECT("'数据-取费表'!Ak"&amp;$G$1)</f>
        <v>1.4999999999999999E-2</v>
      </c>
      <c r="G38" s="2057"/>
      <c r="H38" s="2072"/>
      <c r="I38" s="2076"/>
      <c r="J38" s="1983"/>
      <c r="K38" s="2077"/>
      <c r="L38" s="2072"/>
      <c r="M38" s="2072"/>
    </row>
    <row r="39" spans="1:18" ht="18" customHeight="1">
      <c r="A39" s="799" t="s">
        <v>1872</v>
      </c>
      <c r="B39" s="780" t="s">
        <v>673</v>
      </c>
      <c r="C39" s="53">
        <f ca="1">ROUND(C15*F39,1)</f>
        <v>0</v>
      </c>
      <c r="D39" s="1972" t="s">
        <v>674</v>
      </c>
      <c r="E39" s="780" t="s">
        <v>643</v>
      </c>
      <c r="F39" s="814">
        <f ca="1">INDIRECT("'数据-取费表'!Al"&amp;$G$1)</f>
        <v>1.5E-3</v>
      </c>
      <c r="G39" s="2057"/>
      <c r="H39" s="2072"/>
      <c r="I39" s="2076"/>
      <c r="J39" s="1983"/>
      <c r="K39" s="2077"/>
      <c r="L39" s="2072"/>
      <c r="M39" s="2072"/>
    </row>
    <row r="40" spans="1:18" ht="18" customHeight="1" thickBot="1">
      <c r="A40" s="2579" t="s">
        <v>1873</v>
      </c>
      <c r="B40" s="2565" t="s">
        <v>660</v>
      </c>
      <c r="C40" s="2563">
        <f ca="1">ROUND(C7*F40,1)</f>
        <v>0</v>
      </c>
      <c r="D40" s="2564" t="s">
        <v>677</v>
      </c>
      <c r="E40" s="2565" t="s">
        <v>643</v>
      </c>
      <c r="F40" s="2561">
        <f ca="1">INDIRECT("'数据-取费表'!Am"&amp;$G$1)</f>
        <v>0.01</v>
      </c>
      <c r="G40" s="2057"/>
      <c r="H40" s="2072"/>
      <c r="I40" s="2076"/>
      <c r="J40" s="1983"/>
      <c r="K40" s="2078"/>
      <c r="L40" s="2072"/>
      <c r="M40" s="2072"/>
    </row>
    <row r="41" spans="1:18" ht="18" customHeight="1" thickTop="1">
      <c r="A41" s="1824">
        <v>4</v>
      </c>
      <c r="B41" s="1822" t="s">
        <v>686</v>
      </c>
      <c r="C41" s="1348"/>
      <c r="D41" s="1349"/>
      <c r="E41" s="1349"/>
      <c r="F41" s="1350"/>
      <c r="G41" s="2057"/>
      <c r="H41" s="2057"/>
      <c r="I41" s="2057"/>
      <c r="J41" s="2057"/>
      <c r="K41" s="2078"/>
      <c r="L41" s="2057"/>
      <c r="M41" s="2057"/>
    </row>
    <row r="42" spans="1:18" ht="18" customHeight="1">
      <c r="A42" s="799" t="s">
        <v>1870</v>
      </c>
      <c r="B42" s="831" t="s">
        <v>687</v>
      </c>
      <c r="C42" s="825">
        <f ca="1">C7-C32</f>
        <v>0</v>
      </c>
      <c r="D42" s="1974" t="s">
        <v>688</v>
      </c>
      <c r="E42" s="1976"/>
      <c r="F42" s="816"/>
      <c r="G42" s="2057"/>
      <c r="H42" s="2057"/>
      <c r="I42" s="2057"/>
      <c r="J42" s="2057"/>
      <c r="K42" s="2078"/>
      <c r="L42" s="2057"/>
      <c r="M42" s="2057"/>
    </row>
    <row r="43" spans="1:18" ht="18" customHeight="1">
      <c r="A43" s="799" t="s">
        <v>1871</v>
      </c>
      <c r="B43" s="831" t="s">
        <v>705</v>
      </c>
      <c r="C43" s="832">
        <f ca="1">ROUND(C15*F43,0)</f>
        <v>0</v>
      </c>
      <c r="D43" s="1351" t="s">
        <v>706</v>
      </c>
      <c r="E43" s="3145" t="s">
        <v>2959</v>
      </c>
      <c r="F43" s="3146">
        <f ca="1">INDIRECT("'数据-取费表'!j"&amp;$G$1)</f>
        <v>0.08</v>
      </c>
      <c r="G43" s="2057"/>
      <c r="H43" s="2057"/>
      <c r="I43" s="2057"/>
      <c r="J43" s="2057"/>
      <c r="K43" s="2078"/>
      <c r="L43" s="2057"/>
      <c r="M43" s="2057"/>
    </row>
    <row r="44" spans="1:18" ht="18" customHeight="1">
      <c r="A44" s="799" t="s">
        <v>1872</v>
      </c>
      <c r="B44" s="831" t="s">
        <v>707</v>
      </c>
      <c r="C44" s="1352">
        <f ca="1">C42-C43</f>
        <v>0</v>
      </c>
      <c r="D44" s="461" t="s">
        <v>708</v>
      </c>
      <c r="E44" s="462"/>
      <c r="F44" s="463"/>
      <c r="G44" s="2057"/>
      <c r="H44" s="2057"/>
      <c r="I44" s="2057"/>
      <c r="J44" s="2057"/>
      <c r="K44" s="2078"/>
      <c r="L44" s="2057"/>
      <c r="M44" s="2057"/>
    </row>
    <row r="45" spans="1:18" ht="18" customHeight="1">
      <c r="A45" s="799" t="s">
        <v>1873</v>
      </c>
      <c r="B45" s="1351" t="s">
        <v>709</v>
      </c>
      <c r="C45" s="3057" t="e">
        <f ca="1">ROUND(-PV(F45,F46,C44,0),0)</f>
        <v>#N/A</v>
      </c>
      <c r="D45" s="1353" t="s">
        <v>710</v>
      </c>
      <c r="E45" s="802" t="s">
        <v>711</v>
      </c>
      <c r="F45" s="826">
        <f ca="1">INDIRECT("'数据-取费表'!h"&amp;$G$1)</f>
        <v>0</v>
      </c>
      <c r="G45" s="2057"/>
      <c r="H45" s="2057"/>
      <c r="I45" s="2057"/>
      <c r="J45" s="2057"/>
      <c r="K45" s="2078"/>
      <c r="L45" s="2057"/>
      <c r="M45" s="2057"/>
    </row>
    <row r="46" spans="1:18" ht="18" customHeight="1" thickBot="1">
      <c r="A46" s="827"/>
      <c r="B46" s="1354"/>
      <c r="C46" s="1355"/>
      <c r="D46" s="1356"/>
      <c r="E46" s="3147" t="s">
        <v>2962</v>
      </c>
      <c r="F46" s="824" t="e">
        <f ca="1">IF(INDIRECT("'数据-取费表'!af"&amp;$G$1)=0,INDIRECT("'数据-取费表'!ae"&amp;$G$1),INDIRECT("'数据-取费表'!af"&amp;$G$1))</f>
        <v>#N/A</v>
      </c>
      <c r="G46" s="2057"/>
      <c r="H46" s="2057"/>
      <c r="I46" s="2057"/>
      <c r="J46" s="2057"/>
      <c r="K46" s="2078"/>
      <c r="L46" s="2057"/>
      <c r="M46" s="2057"/>
    </row>
    <row r="47" spans="1:18" s="2054" customFormat="1" ht="18" customHeight="1" thickBot="1">
      <c r="A47" s="2079"/>
      <c r="D47" s="2080"/>
      <c r="E47" s="2080"/>
      <c r="F47" s="2080"/>
      <c r="I47" s="2373" t="s">
        <v>2337</v>
      </c>
      <c r="J47" s="2374"/>
      <c r="K47" s="2375"/>
      <c r="L47" s="2376" t="e">
        <f ca="1">IF(M48="住宅",0,IF(L49&gt;J52,L61,J61))</f>
        <v>#DIV/0!</v>
      </c>
      <c r="O47" s="2413" t="s">
        <v>2405</v>
      </c>
      <c r="P47" s="1587"/>
      <c r="Q47" s="1599"/>
      <c r="R47" s="1587"/>
    </row>
    <row r="48" spans="1:18" s="2054" customFormat="1" ht="18" customHeight="1" thickBot="1">
      <c r="A48" s="2079"/>
      <c r="C48" s="2082"/>
      <c r="D48" s="2083"/>
      <c r="E48" s="2083"/>
      <c r="F48" s="2084"/>
      <c r="G48" s="2085"/>
      <c r="I48" s="2377" t="s">
        <v>2338</v>
      </c>
      <c r="J48" s="2382"/>
      <c r="K48" s="2383" t="s">
        <v>2344</v>
      </c>
      <c r="L48" s="2384">
        <f ca="1">INDIRECT("'数据-取费表'!d"&amp;$G$1)</f>
        <v>50</v>
      </c>
      <c r="M48" s="3142" t="str">
        <f>IF(ISNUMBER(FIND("住宅",C1)),"住宅","非住宅")</f>
        <v>非住宅</v>
      </c>
      <c r="O48" s="2414" t="s">
        <v>2370</v>
      </c>
      <c r="P48" s="2415" t="s">
        <v>2371</v>
      </c>
      <c r="Q48" s="2416" t="s">
        <v>2372</v>
      </c>
      <c r="R48" s="2415" t="s">
        <v>2373</v>
      </c>
    </row>
    <row r="49" spans="1:18" s="2054" customFormat="1" ht="18" customHeight="1" thickBot="1">
      <c r="A49" s="2079"/>
      <c r="D49" s="2086"/>
      <c r="E49" s="2087"/>
      <c r="F49" s="2084"/>
      <c r="G49" s="2085"/>
      <c r="H49" s="2088"/>
      <c r="I49" s="2378" t="s">
        <v>2339</v>
      </c>
      <c r="J49" s="2385"/>
      <c r="K49" s="2386" t="s">
        <v>2346</v>
      </c>
      <c r="L49" s="2387">
        <f ca="1">INDIRECT("'数据-取费表'!f"&amp;$G$1)</f>
        <v>49.69</v>
      </c>
      <c r="O49" s="2417" t="s">
        <v>2374</v>
      </c>
      <c r="P49" s="2418" t="s">
        <v>2400</v>
      </c>
      <c r="Q49" s="2419" t="e">
        <f ca="1">C41+J31</f>
        <v>#N/A</v>
      </c>
      <c r="R49" s="2418" t="s">
        <v>2375</v>
      </c>
    </row>
    <row r="50" spans="1:18" s="2054" customFormat="1" ht="18" customHeight="1" thickBot="1">
      <c r="A50" s="2079"/>
      <c r="D50" s="2089"/>
      <c r="E50" s="2089"/>
      <c r="F50" s="2083"/>
      <c r="G50" s="2090"/>
      <c r="H50" s="2088"/>
      <c r="I50" s="2378" t="s">
        <v>2340</v>
      </c>
      <c r="J50" s="2388"/>
      <c r="K50" s="2389" t="s">
        <v>2347</v>
      </c>
      <c r="L50" s="2390"/>
      <c r="O50" s="2417" t="s">
        <v>2376</v>
      </c>
      <c r="P50" s="2418" t="s">
        <v>2401</v>
      </c>
      <c r="Q50" s="2419" t="str">
        <f ca="1">J61</f>
        <v>0</v>
      </c>
      <c r="R50" s="2418" t="s">
        <v>2377</v>
      </c>
    </row>
    <row r="51" spans="1:18" s="2054" customFormat="1" ht="18" customHeight="1" thickBot="1">
      <c r="A51" s="2091"/>
      <c r="D51" s="2089"/>
      <c r="E51" s="2089"/>
      <c r="F51" s="2080"/>
      <c r="H51" s="2088"/>
      <c r="I51" s="2378" t="s">
        <v>2341</v>
      </c>
      <c r="J51" s="2391">
        <f>SUMPRODUCT((I64:I66=J48)*(J63:L63=J49)*(J64:L66))</f>
        <v>0</v>
      </c>
      <c r="K51" s="2389" t="s">
        <v>2348</v>
      </c>
      <c r="L51" s="2390"/>
      <c r="O51" s="2420" t="s">
        <v>2378</v>
      </c>
      <c r="P51" s="2418" t="s">
        <v>2402</v>
      </c>
      <c r="Q51" s="2419">
        <f ca="1">C31</f>
        <v>0</v>
      </c>
      <c r="R51" s="2418" t="s">
        <v>2375</v>
      </c>
    </row>
    <row r="52" spans="1:18" s="2054" customFormat="1" ht="18" customHeight="1" thickBot="1">
      <c r="A52" s="2091"/>
      <c r="F52" s="2080"/>
      <c r="I52" s="2379" t="s">
        <v>2342</v>
      </c>
      <c r="J52" s="2392">
        <f>IF(J50="",J51,J50+J51-YEAR('数据-取费表'!B3))</f>
        <v>0</v>
      </c>
      <c r="K52" s="2378" t="s">
        <v>2349</v>
      </c>
      <c r="L52" s="2393">
        <f ca="1">ROUND(-PV(INDIRECT("'数据-取费表'!h"&amp;$G$1),L49,(C40-C14*J36),0),0)</f>
        <v>0</v>
      </c>
      <c r="O52" s="2420" t="s">
        <v>2379</v>
      </c>
      <c r="P52" s="2418" t="s">
        <v>2380</v>
      </c>
      <c r="Q52" s="2421" t="e">
        <f ca="1">J59</f>
        <v>#VALUE!</v>
      </c>
      <c r="R52" s="2422"/>
    </row>
    <row r="53" spans="1:18" s="2054" customFormat="1" ht="18" customHeight="1" thickBot="1">
      <c r="A53" s="2091"/>
      <c r="F53" s="2080"/>
      <c r="I53" s="2380" t="s">
        <v>2416</v>
      </c>
      <c r="J53" s="2394"/>
      <c r="K53" s="2380" t="s">
        <v>2415</v>
      </c>
      <c r="L53" s="2394"/>
      <c r="O53" s="2420" t="s">
        <v>2381</v>
      </c>
      <c r="P53" s="2418" t="s">
        <v>2382</v>
      </c>
      <c r="Q53" s="2421">
        <f>J53</f>
        <v>0</v>
      </c>
      <c r="R53" s="2422"/>
    </row>
    <row r="54" spans="1:18" s="2054" customFormat="1" ht="43.5" thickBot="1">
      <c r="A54" s="2091"/>
      <c r="I54" s="2381" t="s">
        <v>2343</v>
      </c>
      <c r="J54" s="2395">
        <f ca="1">IF(M48="住宅",J52,IF(J52&gt;L49,L49-'数据-取费表'!B25,J52))</f>
        <v>0</v>
      </c>
      <c r="K54" s="3527"/>
      <c r="L54" s="3528"/>
      <c r="O54" s="2420" t="s">
        <v>2383</v>
      </c>
      <c r="P54" s="2418" t="s">
        <v>2384</v>
      </c>
      <c r="Q54" s="2419">
        <f ca="1">J54</f>
        <v>0</v>
      </c>
      <c r="R54" s="2418" t="s">
        <v>2385</v>
      </c>
    </row>
    <row r="55" spans="1:18" s="2054" customFormat="1" ht="18" customHeight="1" thickBot="1">
      <c r="A55" s="2091"/>
      <c r="I55" s="205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1"/>
      <c r="O55" s="2417" t="s">
        <v>2386</v>
      </c>
      <c r="P55" s="2418" t="s">
        <v>2403</v>
      </c>
      <c r="Q55" s="2419" t="e">
        <f ca="1">Q49+Q50</f>
        <v>#N/A</v>
      </c>
      <c r="R55" s="2422" t="s">
        <v>2387</v>
      </c>
    </row>
    <row r="56" spans="1:18" s="2054" customFormat="1" ht="16.5" thickBot="1">
      <c r="A56" s="2091"/>
      <c r="B56" s="2092"/>
      <c r="C56" s="2092"/>
      <c r="I56" s="3119" t="s">
        <v>2350</v>
      </c>
      <c r="J56" s="3143" t="e">
        <f ca="1">ROUND(IF(J48="钢混",J58/J51,1-(1-2%)*(J51-J58)/J51),3)</f>
        <v>#VALUE!</v>
      </c>
      <c r="K56" s="2396" t="s">
        <v>2351</v>
      </c>
      <c r="L56" s="2397"/>
      <c r="O56" s="2423" t="s">
        <v>2406</v>
      </c>
      <c r="P56" s="1587"/>
      <c r="Q56" s="1599"/>
      <c r="R56" s="1587"/>
    </row>
    <row r="57" spans="1:18" s="2054" customFormat="1" ht="43.5" thickBot="1">
      <c r="A57" s="2091"/>
      <c r="B57" s="2092"/>
      <c r="C57" s="2092"/>
      <c r="I57" s="2398" t="s">
        <v>2352</v>
      </c>
      <c r="J57" s="3142" t="s">
        <v>1672</v>
      </c>
      <c r="K57" s="2378" t="s">
        <v>2357</v>
      </c>
      <c r="L57" s="2387">
        <f ca="1">IF(L49&lt;J52,"——",L49-J52)</f>
        <v>49.69</v>
      </c>
      <c r="O57" s="2414" t="s">
        <v>2370</v>
      </c>
      <c r="P57" s="2415" t="s">
        <v>2371</v>
      </c>
      <c r="Q57" s="2416" t="s">
        <v>2372</v>
      </c>
      <c r="R57" s="2415" t="s">
        <v>2373</v>
      </c>
    </row>
    <row r="58" spans="1:18" s="2054" customFormat="1" ht="29.25" thickBot="1">
      <c r="A58" s="2091"/>
      <c r="B58" s="2092"/>
      <c r="C58" s="2092"/>
      <c r="I58" s="2399" t="s">
        <v>2353</v>
      </c>
      <c r="J58" s="2401" t="str">
        <f ca="1">IF(OR(M48="住宅",J52&lt;L49,J57="是"),"——",J52-L49)</f>
        <v>——</v>
      </c>
      <c r="K58" s="2378" t="s">
        <v>2358</v>
      </c>
      <c r="L58" s="2387">
        <f ca="1">IF(L49&lt;J52,"——",IF(L56="比较法",L50,IF(L56="基准地价",L51,L52)))</f>
        <v>0</v>
      </c>
      <c r="O58" s="2417" t="s">
        <v>2374</v>
      </c>
      <c r="P58" s="2418" t="s">
        <v>2400</v>
      </c>
      <c r="Q58" s="2419" t="e">
        <f ca="1">C41+J31</f>
        <v>#N/A</v>
      </c>
      <c r="R58" s="2418" t="s">
        <v>2375</v>
      </c>
    </row>
    <row r="59" spans="1:18" s="2054" customFormat="1" ht="29.25" thickBot="1">
      <c r="A59" s="2091"/>
      <c r="B59" s="2092"/>
      <c r="C59" s="2092"/>
      <c r="I59" s="2399" t="s">
        <v>2354</v>
      </c>
      <c r="J59" s="3144" t="e">
        <f ca="1">IF(J56&lt;0.4,0.4,J56)</f>
        <v>#VALUE!</v>
      </c>
      <c r="K59" s="2378" t="s">
        <v>2359</v>
      </c>
      <c r="L59" s="2387">
        <f ca="1">IF(ISERROR(POWER(1+L53,L48-L49)*(POWER(1+L53,L49)-1)/(POWER(1+L53,L48)-1)),0,POWER(1+L53,L48-L49)*(POWER(1+L53,L49)-1)/(POWER(1+L53,L48)-1))</f>
        <v>0</v>
      </c>
      <c r="O59" s="2417" t="s">
        <v>2376</v>
      </c>
      <c r="P59" s="2418" t="s">
        <v>2407</v>
      </c>
      <c r="Q59" s="2419" t="e">
        <f ca="1">L61</f>
        <v>#DIV/0!</v>
      </c>
      <c r="R59" s="2422" t="s">
        <v>2409</v>
      </c>
    </row>
    <row r="60" spans="1:18" s="2054" customFormat="1" ht="29.25" thickBot="1">
      <c r="A60" s="2091"/>
      <c r="B60" s="2092"/>
      <c r="C60" s="2092"/>
      <c r="I60" s="2399" t="s">
        <v>2355</v>
      </c>
      <c r="J60" s="2401" t="str">
        <f ca="1">IF(OR(M48="住宅",J52&lt;L49,J57="是"),"——",ROUND(C30*J59,0))</f>
        <v>——</v>
      </c>
      <c r="K60" s="2378" t="s">
        <v>2360</v>
      </c>
      <c r="L60" s="2387">
        <f ca="1">IF(ISERROR(POWER(1+L53,L48-J52)*(POWER(1+L53,J52)-1)/(POWER(1+L53,L48)-1)),0,POWER(1+L53,L48-J52)*(POWER(1+L53,J52)-1)/(POWER(1+L53,L48)-1))</f>
        <v>0</v>
      </c>
      <c r="O60" s="2420" t="s">
        <v>2378</v>
      </c>
      <c r="P60" s="2418" t="s">
        <v>2408</v>
      </c>
      <c r="Q60" s="2419">
        <f>IF(L56="比较法",L50,IF(L56="基准地价",L51,0))</f>
        <v>0</v>
      </c>
      <c r="R60" s="2418" t="s">
        <v>2375</v>
      </c>
    </row>
    <row r="61" spans="1:18" s="2054" customFormat="1" ht="15.75" thickBot="1">
      <c r="A61" s="2091"/>
      <c r="B61" s="2092"/>
      <c r="C61" s="2092"/>
      <c r="I61" s="2400" t="s">
        <v>2356</v>
      </c>
      <c r="J61" s="2402" t="str">
        <f ca="1">IF(OR(M48="住宅",J52&lt;L49,J57="是"),"0",ROUND(J60/(1+J53)^J54,0))</f>
        <v>0</v>
      </c>
      <c r="K61" s="2403" t="s">
        <v>2361</v>
      </c>
      <c r="L61" s="2402" t="e">
        <f ca="1">IF(OR(M48="住宅",L49&lt;J52),0,ROUND(L58*(L59/L60-1),0))</f>
        <v>#DIV/0!</v>
      </c>
      <c r="O61" s="2420" t="s">
        <v>2379</v>
      </c>
      <c r="P61" s="2418" t="s">
        <v>2388</v>
      </c>
      <c r="Q61" s="2421">
        <f>L53</f>
        <v>0</v>
      </c>
      <c r="R61" s="2422"/>
    </row>
    <row r="62" spans="1:18" s="2054" customFormat="1" ht="20.25" thickBot="1">
      <c r="A62" s="2091"/>
      <c r="B62" s="2092"/>
      <c r="C62" s="2092"/>
      <c r="K62" s="2081"/>
      <c r="O62" s="2420" t="s">
        <v>2381</v>
      </c>
      <c r="P62" s="2418" t="s">
        <v>2389</v>
      </c>
      <c r="Q62" s="2419">
        <f ca="1">L59</f>
        <v>0</v>
      </c>
      <c r="R62" s="2422" t="s">
        <v>2390</v>
      </c>
    </row>
    <row r="63" spans="1:18" s="2054" customFormat="1" ht="20.25" thickBot="1">
      <c r="A63" s="2091"/>
      <c r="B63" s="2092"/>
      <c r="C63" s="2092"/>
      <c r="I63" s="2404" t="s">
        <v>2362</v>
      </c>
      <c r="J63" s="2405" t="s">
        <v>2363</v>
      </c>
      <c r="K63" s="2405" t="s">
        <v>2364</v>
      </c>
      <c r="L63" s="2405" t="s">
        <v>2345</v>
      </c>
      <c r="M63" s="3121" t="s">
        <v>2938</v>
      </c>
      <c r="O63" s="2420" t="s">
        <v>2383</v>
      </c>
      <c r="P63" s="2418" t="s">
        <v>2391</v>
      </c>
      <c r="Q63" s="2419">
        <f ca="1">L60</f>
        <v>0</v>
      </c>
      <c r="R63" s="2422" t="s">
        <v>2392</v>
      </c>
    </row>
    <row r="64" spans="1:18" s="2054" customFormat="1" ht="15.75" thickBot="1">
      <c r="A64" s="2091"/>
      <c r="B64" s="2092"/>
      <c r="C64" s="2092"/>
      <c r="I64" s="2404" t="s">
        <v>2365</v>
      </c>
      <c r="J64" s="2405">
        <v>70</v>
      </c>
      <c r="K64" s="2405">
        <v>50</v>
      </c>
      <c r="L64" s="2405">
        <v>80</v>
      </c>
      <c r="M64" s="3122">
        <v>0.02</v>
      </c>
      <c r="O64" s="2417" t="s">
        <v>2386</v>
      </c>
      <c r="P64" s="2418" t="s">
        <v>2403</v>
      </c>
      <c r="Q64" s="2419" t="e">
        <f ca="1">Q58+Q59</f>
        <v>#N/A</v>
      </c>
      <c r="R64" s="2422" t="s">
        <v>2387</v>
      </c>
    </row>
    <row r="65" spans="1:18" s="2054" customFormat="1" ht="16.5" thickBot="1">
      <c r="A65" s="2091"/>
      <c r="B65" s="2092"/>
      <c r="C65" s="2092"/>
      <c r="I65" s="2404" t="s">
        <v>2366</v>
      </c>
      <c r="J65" s="2405">
        <v>50</v>
      </c>
      <c r="K65" s="2405">
        <v>35</v>
      </c>
      <c r="L65" s="2405">
        <v>60</v>
      </c>
      <c r="M65" s="3123">
        <v>0</v>
      </c>
      <c r="O65" s="2423" t="s">
        <v>2410</v>
      </c>
      <c r="P65" s="1587"/>
      <c r="Q65" s="1599"/>
      <c r="R65" s="1587"/>
    </row>
    <row r="66" spans="1:18" s="2054" customFormat="1" ht="15.75" thickBot="1">
      <c r="A66" s="2091"/>
      <c r="B66" s="2092"/>
      <c r="C66" s="2092"/>
      <c r="I66" s="2404" t="s">
        <v>2367</v>
      </c>
      <c r="J66" s="2405">
        <v>40</v>
      </c>
      <c r="K66" s="2405">
        <v>30</v>
      </c>
      <c r="L66" s="2405">
        <v>50</v>
      </c>
      <c r="M66" s="3122">
        <v>0.02</v>
      </c>
      <c r="O66" s="2414" t="s">
        <v>2370</v>
      </c>
      <c r="P66" s="2415" t="s">
        <v>2371</v>
      </c>
      <c r="Q66" s="2416" t="s">
        <v>2372</v>
      </c>
      <c r="R66" s="2415" t="s">
        <v>2373</v>
      </c>
    </row>
    <row r="67" spans="1:18" s="2054" customFormat="1" ht="15.75" thickBot="1">
      <c r="A67" s="2091"/>
      <c r="B67" s="2092"/>
      <c r="C67" s="2092"/>
      <c r="K67" s="2081"/>
      <c r="O67" s="2417" t="s">
        <v>2374</v>
      </c>
      <c r="P67" s="2418" t="s">
        <v>2400</v>
      </c>
      <c r="Q67" s="2419" t="e">
        <f ca="1">C41+J31</f>
        <v>#N/A</v>
      </c>
      <c r="R67" s="2418" t="s">
        <v>2375</v>
      </c>
    </row>
    <row r="68" spans="1:18" s="2054" customFormat="1" ht="20.25" thickBot="1">
      <c r="A68" s="2091"/>
      <c r="B68" s="2092"/>
      <c r="C68" s="2092"/>
      <c r="K68" s="2081"/>
      <c r="O68" s="2417" t="s">
        <v>2376</v>
      </c>
      <c r="P68" s="2418" t="s">
        <v>2407</v>
      </c>
      <c r="Q68" s="2419" t="e">
        <f ca="1">L61</f>
        <v>#DIV/0!</v>
      </c>
      <c r="R68" s="2422" t="s">
        <v>2409</v>
      </c>
    </row>
    <row r="69" spans="1:18" s="2054" customFormat="1" ht="21.75" thickBot="1">
      <c r="A69" s="2091"/>
      <c r="B69" s="2092"/>
      <c r="C69" s="2092"/>
      <c r="K69" s="2081"/>
      <c r="O69" s="2420" t="s">
        <v>2378</v>
      </c>
      <c r="P69" s="2418" t="s">
        <v>2408</v>
      </c>
      <c r="Q69" s="2424">
        <f ca="1">L52</f>
        <v>0</v>
      </c>
      <c r="R69" s="2425" t="s">
        <v>2411</v>
      </c>
    </row>
    <row r="70" spans="1:18" s="2054" customFormat="1" ht="20.25" thickBot="1">
      <c r="A70" s="2091"/>
      <c r="B70" s="2092"/>
      <c r="C70" s="2092"/>
      <c r="K70" s="2081"/>
      <c r="O70" s="2420" t="s">
        <v>2379</v>
      </c>
      <c r="P70" s="2426" t="s">
        <v>2393</v>
      </c>
      <c r="Q70" s="2419">
        <f ca="1">ROUND(Q71-Q72*Q73,0)</f>
        <v>0</v>
      </c>
      <c r="R70" s="2422"/>
    </row>
    <row r="71" spans="1:18" s="2054" customFormat="1" ht="15.75" thickBot="1">
      <c r="A71" s="2091"/>
      <c r="B71" s="2092"/>
      <c r="C71" s="2092"/>
      <c r="K71" s="2081"/>
      <c r="O71" s="2420" t="s">
        <v>2394</v>
      </c>
      <c r="P71" s="2426" t="s">
        <v>2395</v>
      </c>
      <c r="Q71" s="2419">
        <f ca="1">C42</f>
        <v>0</v>
      </c>
      <c r="R71" s="2418" t="s">
        <v>2375</v>
      </c>
    </row>
    <row r="72" spans="1:18" s="2054" customFormat="1" ht="15.75" thickBot="1">
      <c r="A72" s="2091"/>
      <c r="B72" s="2092"/>
      <c r="C72" s="2092"/>
      <c r="K72" s="2081"/>
      <c r="O72" s="2420" t="s">
        <v>2396</v>
      </c>
      <c r="P72" s="2426" t="s">
        <v>2397</v>
      </c>
      <c r="Q72" s="2419">
        <f ca="1">C15</f>
        <v>0</v>
      </c>
      <c r="R72" s="2418" t="s">
        <v>2375</v>
      </c>
    </row>
    <row r="73" spans="1:18" s="2054" customFormat="1" ht="15.75" thickBot="1">
      <c r="A73" s="2091"/>
      <c r="B73" s="2092"/>
      <c r="C73" s="2092"/>
      <c r="K73" s="2081"/>
      <c r="O73" s="2420" t="s">
        <v>2398</v>
      </c>
      <c r="P73" s="2426" t="s">
        <v>2399</v>
      </c>
      <c r="Q73" s="2421">
        <f ca="1">F43</f>
        <v>0.08</v>
      </c>
      <c r="R73" s="2422"/>
    </row>
    <row r="74" spans="1:18" s="2054" customFormat="1" ht="15.75" thickBot="1">
      <c r="A74" s="2091"/>
      <c r="B74" s="2092"/>
      <c r="C74" s="2092"/>
      <c r="K74" s="2081"/>
      <c r="O74" s="2420" t="s">
        <v>2381</v>
      </c>
      <c r="P74" s="2418" t="s">
        <v>2388</v>
      </c>
      <c r="Q74" s="2421">
        <f>L53</f>
        <v>0</v>
      </c>
      <c r="R74" s="2422"/>
    </row>
    <row r="75" spans="1:18" s="2054" customFormat="1" ht="20.25" thickBot="1">
      <c r="A75" s="2091"/>
      <c r="B75" s="2092"/>
      <c r="C75" s="2092"/>
      <c r="K75" s="2081"/>
      <c r="O75" s="2420" t="s">
        <v>2383</v>
      </c>
      <c r="P75" s="2418" t="s">
        <v>2389</v>
      </c>
      <c r="Q75" s="2419">
        <f ca="1">L59</f>
        <v>0</v>
      </c>
      <c r="R75" s="2422" t="s">
        <v>2390</v>
      </c>
    </row>
    <row r="76" spans="1:18" s="2054" customFormat="1" ht="20.25" thickBot="1">
      <c r="A76" s="2091"/>
      <c r="B76" s="2092"/>
      <c r="C76" s="2092"/>
      <c r="K76" s="2081"/>
      <c r="O76" s="2420" t="s">
        <v>2412</v>
      </c>
      <c r="P76" s="2418" t="s">
        <v>2391</v>
      </c>
      <c r="Q76" s="2419">
        <f ca="1">L60</f>
        <v>0</v>
      </c>
      <c r="R76" s="2422" t="s">
        <v>2392</v>
      </c>
    </row>
    <row r="77" spans="1:18" s="2054" customFormat="1" ht="15.75" thickBot="1">
      <c r="A77" s="2091"/>
      <c r="B77" s="2092"/>
      <c r="C77" s="2092"/>
      <c r="K77" s="2081"/>
      <c r="O77" s="2417" t="s">
        <v>2386</v>
      </c>
      <c r="P77" s="2418" t="s">
        <v>2403</v>
      </c>
      <c r="Q77" s="2419" t="e">
        <f ca="1">Q67+Q68</f>
        <v>#N/A</v>
      </c>
      <c r="R77" s="2422" t="s">
        <v>2387</v>
      </c>
    </row>
    <row r="78" spans="1:18" s="2054" customFormat="1">
      <c r="A78" s="2091"/>
      <c r="B78" s="2092"/>
      <c r="C78" s="2092"/>
      <c r="K78" s="2081"/>
    </row>
    <row r="79" spans="1:18" s="2054" customFormat="1">
      <c r="A79" s="2091"/>
      <c r="B79" s="2092"/>
      <c r="C79" s="2092"/>
      <c r="K79" s="2081"/>
    </row>
    <row r="80" spans="1:18" s="2054" customFormat="1">
      <c r="A80" s="2091"/>
      <c r="B80" s="2092"/>
      <c r="C80" s="2092"/>
      <c r="K80" s="2081"/>
    </row>
    <row r="81" spans="1:11" s="2054" customFormat="1">
      <c r="A81" s="2091"/>
      <c r="B81" s="2092"/>
      <c r="C81" s="2092"/>
      <c r="K81" s="2081"/>
    </row>
    <row r="82" spans="1:11" s="2054" customFormat="1">
      <c r="A82" s="2091"/>
      <c r="B82" s="2092"/>
      <c r="C82" s="2092"/>
      <c r="K82" s="2081"/>
    </row>
    <row r="83" spans="1:11" s="2054" customFormat="1">
      <c r="A83" s="2091"/>
      <c r="B83" s="2092"/>
      <c r="C83" s="2092"/>
      <c r="K83" s="2081"/>
    </row>
    <row r="84" spans="1:11" s="2054" customFormat="1">
      <c r="A84" s="2091"/>
      <c r="B84" s="2092"/>
      <c r="C84" s="2092"/>
      <c r="K84" s="2081"/>
    </row>
    <row r="85" spans="1:11" s="2054" customFormat="1">
      <c r="A85" s="2091"/>
      <c r="B85" s="2092"/>
      <c r="C85" s="2092"/>
      <c r="K85" s="2081"/>
    </row>
    <row r="86" spans="1:11" s="2054" customFormat="1">
      <c r="A86" s="2091"/>
      <c r="B86" s="2092"/>
      <c r="C86" s="2092"/>
      <c r="K86" s="2081"/>
    </row>
    <row r="87" spans="1:11" s="2054" customFormat="1">
      <c r="A87" s="2091"/>
      <c r="B87" s="2092"/>
      <c r="C87" s="2092"/>
      <c r="K87" s="2081"/>
    </row>
    <row r="88" spans="1:11" s="2054" customFormat="1">
      <c r="A88" s="2091"/>
      <c r="B88" s="2092"/>
      <c r="C88" s="2092"/>
      <c r="K88" s="2081"/>
    </row>
    <row r="89" spans="1:11" s="2054" customFormat="1">
      <c r="A89" s="2091"/>
      <c r="B89" s="2092"/>
      <c r="C89" s="2092"/>
      <c r="K89" s="2081"/>
    </row>
    <row r="90" spans="1:11" s="2054" customFormat="1">
      <c r="A90" s="2091"/>
      <c r="B90" s="2092"/>
      <c r="C90" s="2092"/>
      <c r="K90" s="2081"/>
    </row>
    <row r="91" spans="1:11" s="2054" customFormat="1">
      <c r="A91" s="2091"/>
      <c r="B91" s="2092"/>
      <c r="C91" s="2092"/>
      <c r="K91" s="2081"/>
    </row>
    <row r="92" spans="1:11" s="2054" customFormat="1">
      <c r="A92" s="2091"/>
      <c r="B92" s="2092"/>
      <c r="C92" s="2092"/>
      <c r="K92" s="2081"/>
    </row>
    <row r="93" spans="1:11" s="2054" customFormat="1">
      <c r="A93" s="2091"/>
      <c r="B93" s="2092"/>
      <c r="C93" s="2092"/>
      <c r="K93" s="2081"/>
    </row>
    <row r="94" spans="1:11" s="2054" customFormat="1">
      <c r="A94" s="2091"/>
      <c r="B94" s="2092"/>
      <c r="C94" s="2092"/>
      <c r="K94" s="208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44" priority="6">
      <formula>$F$12="自定义"</formula>
    </cfRule>
  </conditionalFormatting>
  <conditionalFormatting sqref="J13">
    <cfRule type="expression" dxfId="143" priority="5">
      <formula>$M$10="自定义"</formula>
    </cfRule>
  </conditionalFormatting>
  <conditionalFormatting sqref="K56">
    <cfRule type="expression" dxfId="142" priority="3">
      <formula>$L$48&gt;$J$51</formula>
    </cfRule>
  </conditionalFormatting>
  <conditionalFormatting sqref="I56">
    <cfRule type="expression" dxfId="141" priority="4">
      <formula>$J$51&gt;$L$48</formula>
    </cfRule>
  </conditionalFormatting>
  <conditionalFormatting sqref="I61">
    <cfRule type="expression" dxfId="140" priority="2">
      <formula>$J$51&gt;$L$48</formula>
    </cfRule>
  </conditionalFormatting>
  <conditionalFormatting sqref="K61">
    <cfRule type="expression" dxfId="139"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4" customWidth="1"/>
    <col min="2" max="2" width="9" style="1774"/>
    <col min="3" max="4" width="9.625" style="1774" customWidth="1"/>
    <col min="5" max="16384" width="9" style="1774"/>
  </cols>
  <sheetData>
    <row r="1" spans="1:4" ht="22.5">
      <c r="A1" s="1773" t="s">
        <v>1898</v>
      </c>
    </row>
    <row r="2" spans="1:4">
      <c r="A2" s="1775"/>
    </row>
    <row r="3" spans="1:4" ht="18.75">
      <c r="A3" s="1793" t="str">
        <f>项目基本情况!B5&amp;"："</f>
        <v>：</v>
      </c>
    </row>
    <row r="4" spans="1:4" ht="37.5">
      <c r="A4" s="1787" t="str">
        <f>"受贵公司委托，我公司对"&amp;项目基本情况!K2&amp;项目基本情况!B9&amp;"进行了预评估。"</f>
        <v>受贵公司委托，我公司对天津市河东区六纬路西侧金茂天津河东一热电项目出让国有建设用地使用权抵押价格进行了预评估。</v>
      </c>
    </row>
    <row r="5" spans="1:4" ht="18.75">
      <c r="A5" s="1790" t="s">
        <v>1899</v>
      </c>
    </row>
    <row r="6" spans="1:4" ht="75">
      <c r="A6" s="178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天津市河东区六纬路西侧金茂天津河东一热电项目出让国有建设用地使用权。根据《国有土地使用证》[]，估价对象（分摊）出让国有建设用地使用权面积为121315.1平方米。根据《建设工程规划许可证》[]、《出让合同》[]，估价对象规划建筑面积为412759.99平方米。</v>
      </c>
    </row>
    <row r="7" spans="1:4" ht="56.25">
      <c r="A7" s="1791" t="s">
        <v>2746</v>
      </c>
    </row>
    <row r="8" spans="1:4" ht="18.75">
      <c r="A8" s="1790" t="s">
        <v>1900</v>
      </c>
    </row>
    <row r="9" spans="1:4" ht="93.75">
      <c r="A9" s="1792" t="str">
        <f>IF(项目基本情况!B8="抵押",IF(项目基本情况!B5=项目基本情况!B6,定义!C51,定义!B51),定义!D51)</f>
        <v>天津津辉置业有限公司拟使用天津市河东区六纬路西侧金茂天津河东一热电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3" t="s">
        <v>2021</v>
      </c>
    </row>
    <row r="11" spans="1:4" ht="18.75">
      <c r="A11" s="1776" t="str">
        <f>TEXT(项目基本情况!D3,"yyyy年m月d日;;")&amp;IF(项目基本情况!B3=项目基本情况!D3,"（评估专业人员勘察现场之日）","")</f>
        <v>2017年10月27日（评估专业人员勘察现场之日）</v>
      </c>
    </row>
    <row r="12" spans="1:4" ht="18.75">
      <c r="A12" s="1793" t="s">
        <v>2020</v>
      </c>
    </row>
    <row r="13" spans="1:4" ht="18.75">
      <c r="A13" s="1787" t="s">
        <v>2937</v>
      </c>
    </row>
    <row r="14" spans="1:4" ht="37.5">
      <c r="A14" s="1787" t="str">
        <f>"根据"&amp;项目基本情况!F12&amp;"，本次评估估价对象证载（地类）用途为"&amp;项目基本情况!B12&amp;"。"</f>
        <v>根据《出让公告》，本次评估估价对象证载（地类）用途为住宅、商业、地下车库。</v>
      </c>
      <c r="C14" s="1777"/>
      <c r="D14" s="1778"/>
    </row>
    <row r="15" spans="1:4" ht="18.75">
      <c r="A15" s="17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7"/>
      <c r="D15" s="1778"/>
    </row>
    <row r="16" spans="1:4" ht="18.75">
      <c r="A16" s="1787" t="s">
        <v>2067</v>
      </c>
    </row>
    <row r="17" spans="1:1" ht="56.25">
      <c r="A17" s="17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8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7" t="s">
        <v>2068</v>
      </c>
    </row>
    <row r="20" spans="1:1" ht="56.25">
      <c r="A20" s="257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根据《国有土地使用证》[]，估价对象（分摊）出让国有建设用地使用权面积为121315.1平方米。根据《建设工程规划许可证》[]、《出让合同》[]，估价对象规划建筑面积为412759.99平方米。</v>
      </c>
    </row>
    <row r="21" spans="1:1" ht="18.75">
      <c r="A21" s="1787" t="s">
        <v>2069</v>
      </c>
    </row>
    <row r="22" spans="1:1" ht="75">
      <c r="A22" s="178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出让公告》证载土地终止日期为住宅2087年6月25日、商业2057年6月25日、办公2067年6月25日、地下车库2067年6月25日。截至估价期日，出让国有建设用地使用权剩余土地使用年限为。</v>
      </c>
    </row>
    <row r="23" spans="1:1" ht="18.75">
      <c r="A23" s="1787" t="str">
        <f>IF(项目基本情况!B16="出让","本次评估设定估价对象剩余土地使用年限为"&amp;项目基本情况!D20&amp;"。","")</f>
        <v>本次评估设定估价对象剩余土地使用年限为。</v>
      </c>
    </row>
    <row r="24" spans="1:1" ht="18.75">
      <c r="A24" s="1787" t="s">
        <v>2070</v>
      </c>
    </row>
    <row r="25" spans="1:1" ht="75">
      <c r="A25" s="1787" t="str">
        <f>定义!C53</f>
        <v>本次估价的“出让国有建设用地使用权价格”是指在估价对象土地所有权为国家所有，使用权性质为出让，在公开市场条件下、于估价期日2017年10月27日，在规划利用条件下、设定土地开发程度为红线外“七通”、宗地内场地，设定用途为，剩余土地使用年限为的出让国有建设用地使用权价格。</v>
      </c>
    </row>
    <row r="26" spans="1:1" ht="37.5">
      <c r="A26" s="178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3" t="s">
        <v>2022</v>
      </c>
    </row>
    <row r="30" spans="1:1" ht="75">
      <c r="A30" s="17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4"/>
    </row>
    <row r="32" spans="1:1" ht="18.75">
      <c r="A32" s="1795" t="s">
        <v>2023</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83"/>
    <col min="2" max="6" width="9" style="2683" customWidth="1"/>
    <col min="7" max="7" width="9" style="2699" customWidth="1"/>
    <col min="8" max="12" width="9" style="2683" customWidth="1"/>
    <col min="13" max="13" width="2.25" style="2683" customWidth="1"/>
    <col min="14" max="14" width="9" style="2699" customWidth="1"/>
    <col min="15" max="17" width="9" style="2683" customWidth="1"/>
    <col min="18" max="18" width="2.375" style="2683" customWidth="1"/>
    <col min="19" max="19" width="7.125" style="2699" customWidth="1"/>
    <col min="20" max="22" width="7.125" style="2683" customWidth="1"/>
    <col min="23" max="23" width="24" style="2683" customWidth="1"/>
    <col min="24" max="25" width="9" style="2683"/>
    <col min="26" max="27" width="11.625" style="2683" customWidth="1"/>
    <col min="28" max="28" width="9" style="2683"/>
    <col min="29" max="29" width="2" style="2683" customWidth="1"/>
    <col min="30" max="16384" width="9" style="2683"/>
  </cols>
  <sheetData>
    <row r="1" spans="1:34" s="2673" customFormat="1">
      <c r="B1" s="3531" t="s">
        <v>2573</v>
      </c>
      <c r="C1" s="3531"/>
      <c r="D1" s="3531"/>
      <c r="E1" s="3531"/>
      <c r="F1" s="3531"/>
      <c r="G1" s="3530" t="s">
        <v>2574</v>
      </c>
      <c r="H1" s="3530"/>
      <c r="I1" s="3530"/>
      <c r="J1" s="3530"/>
      <c r="K1" s="3530"/>
      <c r="L1" s="3530"/>
      <c r="N1" s="3530" t="s">
        <v>2575</v>
      </c>
      <c r="O1" s="3530"/>
      <c r="P1" s="3530"/>
      <c r="Q1" s="3530"/>
      <c r="R1" s="2674"/>
      <c r="S1" s="3530" t="s">
        <v>2576</v>
      </c>
      <c r="T1" s="3530"/>
      <c r="U1" s="3530"/>
      <c r="V1" s="3530"/>
      <c r="X1" s="3529" t="s">
        <v>2637</v>
      </c>
      <c r="Y1" s="3530"/>
      <c r="Z1" s="3530"/>
      <c r="AA1" s="3530"/>
      <c r="AB1" s="3530"/>
      <c r="AD1" s="3529" t="s">
        <v>2642</v>
      </c>
      <c r="AE1" s="3530"/>
      <c r="AF1" s="3530"/>
      <c r="AG1" s="3530"/>
      <c r="AH1" s="3530"/>
    </row>
    <row r="2" spans="1:34" s="2776" customFormat="1" ht="14.25" thickBot="1">
      <c r="B2" s="2785" t="s">
        <v>2577</v>
      </c>
      <c r="C2" s="2785" t="s">
        <v>2640</v>
      </c>
      <c r="D2" s="2777" t="s">
        <v>1638</v>
      </c>
      <c r="E2" s="2777" t="s">
        <v>1945</v>
      </c>
      <c r="F2" s="2785" t="s">
        <v>2641</v>
      </c>
      <c r="G2" s="2780"/>
      <c r="H2" s="2779"/>
      <c r="I2" s="2785" t="s">
        <v>2953</v>
      </c>
      <c r="J2" s="2777" t="s">
        <v>2955</v>
      </c>
      <c r="K2" s="2777" t="s">
        <v>2956</v>
      </c>
      <c r="L2" s="2785" t="s">
        <v>2957</v>
      </c>
      <c r="N2" s="2785" t="s">
        <v>2577</v>
      </c>
      <c r="O2" s="2777" t="s">
        <v>2954</v>
      </c>
      <c r="P2" s="2777" t="s">
        <v>1945</v>
      </c>
      <c r="Q2" s="2785" t="s">
        <v>2641</v>
      </c>
      <c r="R2" s="2778"/>
      <c r="S2" s="2785" t="s">
        <v>2577</v>
      </c>
      <c r="T2" s="2777" t="s">
        <v>2954</v>
      </c>
      <c r="U2" s="2777" t="s">
        <v>1945</v>
      </c>
      <c r="V2" s="2785" t="s">
        <v>2641</v>
      </c>
      <c r="X2" s="2785" t="s">
        <v>2577</v>
      </c>
      <c r="Y2" s="2785" t="s">
        <v>2640</v>
      </c>
      <c r="Z2" s="2777" t="s">
        <v>1638</v>
      </c>
      <c r="AA2" s="2777" t="s">
        <v>1945</v>
      </c>
      <c r="AB2" s="2785" t="s">
        <v>2641</v>
      </c>
      <c r="AD2" s="2785" t="s">
        <v>2577</v>
      </c>
      <c r="AE2" s="2785" t="s">
        <v>2640</v>
      </c>
      <c r="AF2" s="2777" t="s">
        <v>1638</v>
      </c>
      <c r="AG2" s="2777" t="s">
        <v>1945</v>
      </c>
      <c r="AH2" s="2785" t="s">
        <v>2641</v>
      </c>
    </row>
    <row r="3" spans="1:34" s="2769" customFormat="1" ht="14.25">
      <c r="B3" s="2770"/>
      <c r="C3" s="2770"/>
      <c r="D3" s="2771"/>
      <c r="E3" s="2771"/>
      <c r="F3" s="2770"/>
      <c r="G3" s="2775"/>
      <c r="H3" s="2772"/>
      <c r="I3" s="3153"/>
      <c r="J3" s="3153"/>
      <c r="K3" s="3153"/>
      <c r="L3" s="3153"/>
      <c r="N3" s="2775"/>
      <c r="O3" s="2773"/>
      <c r="P3" s="2773"/>
      <c r="Q3" s="2773"/>
      <c r="R3" s="2773"/>
      <c r="S3" s="2775"/>
      <c r="T3" s="2773"/>
      <c r="U3" s="2773"/>
      <c r="V3" s="2773"/>
      <c r="X3" s="2774">
        <f>ROUND(SUMPRODUCT(PRODUCT(1+N3:N$19)),4)</f>
        <v>1.4742</v>
      </c>
      <c r="Y3" s="2774">
        <f>ROUND(SUMPRODUCT(PRODUCT(1+O3:O$19)),4)</f>
        <v>1.2875000000000001</v>
      </c>
      <c r="Z3" s="2774">
        <f t="shared" ref="Z3:Z17" si="0">Y3</f>
        <v>1.2875000000000001</v>
      </c>
      <c r="AA3" s="2774">
        <f>ROUND(SUMPRODUCT(PRODUCT(1+P3:P$19)),4)</f>
        <v>1.5399</v>
      </c>
      <c r="AB3" s="2774">
        <f>ROUND(SUMPRODUCT(PRODUCT(1+Q3:Q$19)),4)</f>
        <v>1.2475000000000001</v>
      </c>
      <c r="AD3" s="2694">
        <f>ROUND(AVERAGE(I3:I$20)/100,4)</f>
        <v>2.4899999999999999E-2</v>
      </c>
      <c r="AE3" s="2694">
        <f>ROUND(AVERAGE(J3:J$20)/100,4)</f>
        <v>1.6400000000000001E-2</v>
      </c>
      <c r="AF3" s="2694">
        <f t="shared" ref="AF3:AF18" si="1">AE3</f>
        <v>1.6400000000000001E-2</v>
      </c>
      <c r="AG3" s="2694">
        <f>ROUND(AVERAGE(K3:K$20)/100,4)</f>
        <v>2.7799999999999998E-2</v>
      </c>
      <c r="AH3" s="2694">
        <f>ROUND(AVERAGE(L3:L$20)/100,4)</f>
        <v>1.3899999999999999E-2</v>
      </c>
    </row>
    <row r="4" spans="1:34" s="2769" customFormat="1" ht="13.5" thickBot="1">
      <c r="A4" s="2675" t="s">
        <v>2965</v>
      </c>
      <c r="B4" s="2689">
        <f>B5*(1+N4)</f>
        <v>453.57903691012211</v>
      </c>
      <c r="C4" s="2689">
        <f t="shared" ref="C4" si="2">C5*(1+O4)</f>
        <v>331.18001284964259</v>
      </c>
      <c r="D4" s="2689">
        <f t="shared" ref="D4:D9" si="3">C4</f>
        <v>331.18001284964259</v>
      </c>
      <c r="E4" s="2689">
        <f t="shared" ref="E4" si="4">E5*(1+P4)</f>
        <v>650.68458238034486</v>
      </c>
      <c r="F4" s="2689">
        <f t="shared" ref="F4" si="5">F5*(1+Q4)</f>
        <v>287.29097305893981</v>
      </c>
      <c r="G4" s="2775">
        <v>2018</v>
      </c>
      <c r="H4" s="2772">
        <v>1</v>
      </c>
      <c r="I4" s="3153">
        <f>ROUND(AVERAGE(I5:I20),2)</f>
        <v>2.4900000000000002</v>
      </c>
      <c r="J4" s="3153">
        <f t="shared" ref="J4:L4" si="6">ROUND(AVERAGE(J5:J20),2)</f>
        <v>1.64</v>
      </c>
      <c r="K4" s="3153">
        <f t="shared" si="6"/>
        <v>2.78</v>
      </c>
      <c r="L4" s="3153">
        <f t="shared" si="6"/>
        <v>1.39</v>
      </c>
      <c r="N4" s="3151">
        <f t="shared" ref="N4:N9" si="7">I4/100</f>
        <v>2.4900000000000002E-2</v>
      </c>
      <c r="O4" s="3152">
        <f t="shared" ref="O4" si="8">J4/100</f>
        <v>1.6399999999999998E-2</v>
      </c>
      <c r="P4" s="3152">
        <f t="shared" ref="P4" si="9">K4/100</f>
        <v>2.7799999999999998E-2</v>
      </c>
      <c r="Q4" s="3152">
        <f t="shared" ref="Q4" si="10">L4/100</f>
        <v>1.3899999999999999E-2</v>
      </c>
      <c r="R4" s="2773"/>
      <c r="S4" s="2775"/>
      <c r="T4" s="2773"/>
      <c r="U4" s="2773"/>
      <c r="V4" s="2773"/>
      <c r="X4" s="2774"/>
      <c r="Y4" s="2774"/>
      <c r="Z4" s="2774"/>
      <c r="AA4" s="2774"/>
      <c r="AB4" s="2774"/>
      <c r="AD4" s="2694"/>
      <c r="AE4" s="2694"/>
      <c r="AF4" s="2694"/>
      <c r="AG4" s="2694"/>
      <c r="AH4" s="2694"/>
    </row>
    <row r="5" spans="1:34" s="3136" customFormat="1">
      <c r="A5" s="3134" t="s">
        <v>2964</v>
      </c>
      <c r="B5" s="2816">
        <f t="shared" ref="B5" si="11">B6*(1+N5)</f>
        <v>442.55931008890832</v>
      </c>
      <c r="C5" s="2816">
        <f t="shared" ref="C5" si="12">C6*(1+O5)</f>
        <v>325.83629756950273</v>
      </c>
      <c r="D5" s="2816">
        <f t="shared" si="3"/>
        <v>325.83629756950273</v>
      </c>
      <c r="E5" s="2816">
        <f t="shared" ref="E5" si="13">E6*(1+P5)</f>
        <v>633.08482426575677</v>
      </c>
      <c r="F5" s="2816">
        <f t="shared" ref="F5" si="14">F6*(1+Q5)</f>
        <v>283.35237504580311</v>
      </c>
      <c r="G5" s="3538">
        <v>2017</v>
      </c>
      <c r="H5" s="3135">
        <v>4</v>
      </c>
      <c r="I5" s="3154">
        <f>ROUND(AVERAGE(I6:I20),2)</f>
        <v>2.4900000000000002</v>
      </c>
      <c r="J5" s="3154">
        <f>ROUND(AVERAGE(J6:J20),2)</f>
        <v>1.64</v>
      </c>
      <c r="K5" s="3154">
        <f>ROUND(AVERAGE(K6:K20),2)</f>
        <v>2.78</v>
      </c>
      <c r="L5" s="3154">
        <f>ROUND(AVERAGE(L6:L20),2)</f>
        <v>1.39</v>
      </c>
      <c r="N5" s="2782">
        <f t="shared" si="7"/>
        <v>2.4900000000000002E-2</v>
      </c>
      <c r="O5" s="2782">
        <f t="shared" ref="O5" si="15">J5/100</f>
        <v>1.6399999999999998E-2</v>
      </c>
      <c r="P5" s="2782">
        <f t="shared" ref="P5" si="16">K5/100</f>
        <v>2.7799999999999998E-2</v>
      </c>
      <c r="Q5" s="2782">
        <f t="shared" ref="Q5" si="17">L5/100</f>
        <v>1.3899999999999999E-2</v>
      </c>
      <c r="R5" s="3137"/>
      <c r="S5" s="3138"/>
      <c r="T5" s="3137"/>
      <c r="U5" s="3137"/>
      <c r="V5" s="3137"/>
      <c r="W5" s="2783" t="s">
        <v>2638</v>
      </c>
      <c r="X5" s="3139">
        <f>ROUND(SUMPRODUCT(PRODUCT(1+N5:N$19)),4)</f>
        <v>1.4383999999999999</v>
      </c>
      <c r="Y5" s="3139">
        <f>ROUND(SUMPRODUCT(PRODUCT(1+O5:O$19)),4)</f>
        <v>1.2667999999999999</v>
      </c>
      <c r="Z5" s="3139">
        <f t="shared" si="0"/>
        <v>1.2667999999999999</v>
      </c>
      <c r="AA5" s="3139">
        <f>ROUND(SUMPRODUCT(PRODUCT(1+P5:P$19)),4)</f>
        <v>1.4982</v>
      </c>
      <c r="AB5" s="3139">
        <f>ROUND(SUMPRODUCT(PRODUCT(1+Q5:Q$19)),4)</f>
        <v>1.2303999999999999</v>
      </c>
      <c r="AD5" s="3140">
        <f>ROUND(AVERAGE(I5:I$20)/100,4)</f>
        <v>2.4899999999999999E-2</v>
      </c>
      <c r="AE5" s="3140">
        <f>ROUND(AVERAGE(J5:J$20)/100,4)</f>
        <v>1.6400000000000001E-2</v>
      </c>
      <c r="AF5" s="3140">
        <f t="shared" si="1"/>
        <v>1.6400000000000001E-2</v>
      </c>
      <c r="AG5" s="3140">
        <f>ROUND(AVERAGE(K5:K$20)/100,4)</f>
        <v>2.7799999999999998E-2</v>
      </c>
      <c r="AH5" s="3140">
        <f>ROUND(AVERAGE(L5:L$20)/100,4)</f>
        <v>1.3899999999999999E-2</v>
      </c>
    </row>
    <row r="6" spans="1:34" s="3136" customFormat="1">
      <c r="A6" s="2675" t="s">
        <v>2578</v>
      </c>
      <c r="B6" s="2689">
        <f t="shared" ref="B6:C8" si="18">B7*(1+N6)</f>
        <v>431.80730811680002</v>
      </c>
      <c r="C6" s="2689">
        <f t="shared" si="18"/>
        <v>320.57880516480003</v>
      </c>
      <c r="D6" s="2689">
        <f t="shared" si="3"/>
        <v>320.57880516480003</v>
      </c>
      <c r="E6" s="2689">
        <f t="shared" ref="E6:F8" si="19">E7*(1+P6)</f>
        <v>615.96110553196797</v>
      </c>
      <c r="F6" s="2689">
        <f t="shared" si="19"/>
        <v>279.46777300108801</v>
      </c>
      <c r="G6" s="3533"/>
      <c r="H6" s="2679">
        <v>3</v>
      </c>
      <c r="I6" s="2679">
        <v>2.98</v>
      </c>
      <c r="J6" s="2679">
        <v>2.11</v>
      </c>
      <c r="K6" s="2679">
        <v>3.24</v>
      </c>
      <c r="L6" s="2690">
        <v>1.72</v>
      </c>
      <c r="N6" s="2684">
        <f t="shared" si="7"/>
        <v>2.98E-2</v>
      </c>
      <c r="O6" s="2685">
        <f t="shared" ref="O6:O7" si="20">J6/100</f>
        <v>2.1099999999999997E-2</v>
      </c>
      <c r="P6" s="2685">
        <f t="shared" ref="P6:P7" si="21">K6/100</f>
        <v>3.2400000000000005E-2</v>
      </c>
      <c r="Q6" s="2685">
        <f t="shared" ref="Q6:Q7" si="22">L6/100</f>
        <v>1.72E-2</v>
      </c>
      <c r="R6" s="3137"/>
      <c r="S6" s="2678"/>
      <c r="T6" s="3150"/>
      <c r="U6" s="3150"/>
      <c r="V6" s="3150"/>
      <c r="W6" s="2673"/>
      <c r="X6" s="2774">
        <f>ROUND(SUMPRODUCT(PRODUCT(1+N6:N$19)),4)</f>
        <v>1.4034</v>
      </c>
      <c r="Y6" s="2774">
        <f>ROUND(SUMPRODUCT(PRODUCT(1+O6:O$19)),4)</f>
        <v>1.2463</v>
      </c>
      <c r="Z6" s="2774">
        <f t="shared" si="0"/>
        <v>1.2463</v>
      </c>
      <c r="AA6" s="2774">
        <f>ROUND(SUMPRODUCT(PRODUCT(1+P6:P$19)),4)</f>
        <v>1.4577</v>
      </c>
      <c r="AB6" s="2774">
        <f>ROUND(SUMPRODUCT(PRODUCT(1+Q6:Q$19)),4)</f>
        <v>1.2136</v>
      </c>
      <c r="AC6" s="2673"/>
      <c r="AD6" s="2694">
        <f>ROUND(AVERAGE(I6:I$20)/100,4)</f>
        <v>2.4899999999999999E-2</v>
      </c>
      <c r="AE6" s="2694">
        <f>ROUND(AVERAGE(J6:J$20)/100,4)</f>
        <v>1.6400000000000001E-2</v>
      </c>
      <c r="AF6" s="2694">
        <f t="shared" si="1"/>
        <v>1.6400000000000001E-2</v>
      </c>
      <c r="AG6" s="2694">
        <f>ROUND(AVERAGE(K6:K$20)/100,4)</f>
        <v>2.7799999999999998E-2</v>
      </c>
      <c r="AH6" s="2694">
        <f>ROUND(AVERAGE(L6:L$20)/100,4)</f>
        <v>1.3899999999999999E-2</v>
      </c>
    </row>
    <row r="7" spans="1:34" s="2673" customFormat="1">
      <c r="A7" s="2675" t="s">
        <v>2579</v>
      </c>
      <c r="B7" s="2689">
        <f t="shared" si="18"/>
        <v>419.31181600000002</v>
      </c>
      <c r="C7" s="2689">
        <f t="shared" si="18"/>
        <v>313.95436800000004</v>
      </c>
      <c r="D7" s="2689">
        <f t="shared" si="3"/>
        <v>313.95436800000004</v>
      </c>
      <c r="E7" s="2689">
        <f t="shared" si="19"/>
        <v>596.63028431999999</v>
      </c>
      <c r="F7" s="2689">
        <f t="shared" si="19"/>
        <v>274.74220703999998</v>
      </c>
      <c r="G7" s="3533"/>
      <c r="H7" s="2680">
        <v>2</v>
      </c>
      <c r="I7" s="2680">
        <v>3.4</v>
      </c>
      <c r="J7" s="2680">
        <v>2</v>
      </c>
      <c r="K7" s="2680">
        <v>3.82</v>
      </c>
      <c r="L7" s="2691">
        <v>1.68</v>
      </c>
      <c r="N7" s="2684">
        <f t="shared" si="7"/>
        <v>3.4000000000000002E-2</v>
      </c>
      <c r="O7" s="2685">
        <f t="shared" si="20"/>
        <v>0.02</v>
      </c>
      <c r="P7" s="2685">
        <f t="shared" si="21"/>
        <v>3.8199999999999998E-2</v>
      </c>
      <c r="Q7" s="2685">
        <f t="shared" si="22"/>
        <v>1.6799999999999999E-2</v>
      </c>
      <c r="R7" s="2674"/>
      <c r="S7" s="2678"/>
      <c r="T7" s="2674"/>
      <c r="U7" s="2674"/>
      <c r="V7" s="2674"/>
      <c r="X7" s="2774">
        <f>ROUND(SUMPRODUCT(PRODUCT(1+N7:N$19)),4)</f>
        <v>1.3628</v>
      </c>
      <c r="Y7" s="2774">
        <f>ROUND(SUMPRODUCT(PRODUCT(1+O7:O$19)),4)</f>
        <v>1.2205999999999999</v>
      </c>
      <c r="Z7" s="2774">
        <f t="shared" si="0"/>
        <v>1.2205999999999999</v>
      </c>
      <c r="AA7" s="2774">
        <f>ROUND(SUMPRODUCT(PRODUCT(1+P7:P$19)),4)</f>
        <v>1.4118999999999999</v>
      </c>
      <c r="AB7" s="2774">
        <f>ROUND(SUMPRODUCT(PRODUCT(1+Q7:Q$19)),4)</f>
        <v>1.1930000000000001</v>
      </c>
      <c r="AD7" s="2694">
        <f>ROUND(AVERAGE(I7:I$20)/100,4)</f>
        <v>2.46E-2</v>
      </c>
      <c r="AE7" s="2694">
        <f>ROUND(AVERAGE(J7:J$20)/100,4)</f>
        <v>1.6E-2</v>
      </c>
      <c r="AF7" s="2694">
        <f t="shared" si="1"/>
        <v>1.6E-2</v>
      </c>
      <c r="AG7" s="2694">
        <f>ROUND(AVERAGE(K7:K$20)/100,4)</f>
        <v>2.75E-2</v>
      </c>
      <c r="AH7" s="2694">
        <f>ROUND(AVERAGE(L7:L$20)/100,4)</f>
        <v>1.37E-2</v>
      </c>
    </row>
    <row r="8" spans="1:34" s="2781" customFormat="1" ht="13.5" thickBot="1">
      <c r="A8" s="2675" t="s">
        <v>2580</v>
      </c>
      <c r="B8" s="2689">
        <f t="shared" si="18"/>
        <v>405.524</v>
      </c>
      <c r="C8" s="2689">
        <f t="shared" si="18"/>
        <v>307.79840000000002</v>
      </c>
      <c r="D8" s="2689">
        <f t="shared" si="3"/>
        <v>307.79840000000002</v>
      </c>
      <c r="E8" s="2689">
        <f t="shared" si="19"/>
        <v>574.67759999999998</v>
      </c>
      <c r="F8" s="2689">
        <f t="shared" si="19"/>
        <v>270.20280000000002</v>
      </c>
      <c r="G8" s="3534"/>
      <c r="H8" s="2679">
        <v>1</v>
      </c>
      <c r="I8" s="2679">
        <v>3.45</v>
      </c>
      <c r="J8" s="2679">
        <v>1.92</v>
      </c>
      <c r="K8" s="2679">
        <v>3.92</v>
      </c>
      <c r="L8" s="2690">
        <v>1.58</v>
      </c>
      <c r="M8" s="2683"/>
      <c r="N8" s="2684">
        <f t="shared" si="7"/>
        <v>3.4500000000000003E-2</v>
      </c>
      <c r="O8" s="2685">
        <f t="shared" ref="O8" si="23">J8/100</f>
        <v>1.9199999999999998E-2</v>
      </c>
      <c r="P8" s="2685">
        <f t="shared" ref="P8" si="24">K8/100</f>
        <v>3.9199999999999999E-2</v>
      </c>
      <c r="Q8" s="2685">
        <f t="shared" ref="Q8" si="25">L8/100</f>
        <v>1.5800000000000002E-2</v>
      </c>
      <c r="R8" s="2686"/>
      <c r="S8" s="2692">
        <f>B8/B9-1</f>
        <v>3.4499999999999975E-2</v>
      </c>
      <c r="T8" s="2693">
        <f>C8/C9-1</f>
        <v>1.9200000000000106E-2</v>
      </c>
      <c r="U8" s="2693">
        <f>E8/E9-1</f>
        <v>3.9199999999999902E-2</v>
      </c>
      <c r="V8" s="2693">
        <f>F8/F9-1</f>
        <v>1.5800000000000036E-2</v>
      </c>
      <c r="W8" s="2683"/>
      <c r="X8" s="2774">
        <f>ROUND(SUMPRODUCT(PRODUCT(1+N8:N$19)),4)</f>
        <v>1.3180000000000001</v>
      </c>
      <c r="Y8" s="2774">
        <f>ROUND(SUMPRODUCT(PRODUCT(1+O8:O$19)),4)</f>
        <v>1.1966000000000001</v>
      </c>
      <c r="Z8" s="2774">
        <f t="shared" si="0"/>
        <v>1.1966000000000001</v>
      </c>
      <c r="AA8" s="2774">
        <f>ROUND(SUMPRODUCT(PRODUCT(1+P8:P$19)),4)</f>
        <v>1.36</v>
      </c>
      <c r="AB8" s="2774">
        <f>ROUND(SUMPRODUCT(PRODUCT(1+Q8:Q$19)),4)</f>
        <v>1.1733</v>
      </c>
      <c r="AC8" s="2683"/>
      <c r="AD8" s="2694">
        <f>ROUND(AVERAGE(I8:I$20)/100,4)</f>
        <v>2.3900000000000001E-2</v>
      </c>
      <c r="AE8" s="2694">
        <f>ROUND(AVERAGE(J8:J$20)/100,4)</f>
        <v>1.5699999999999999E-2</v>
      </c>
      <c r="AF8" s="2694">
        <f t="shared" si="1"/>
        <v>1.5699999999999999E-2</v>
      </c>
      <c r="AG8" s="2694">
        <f>ROUND(AVERAGE(K8:K$20)/100,4)</f>
        <v>2.6599999999999999E-2</v>
      </c>
      <c r="AH8" s="2694">
        <f>ROUND(AVERAGE(L8:L$20)/100,4)</f>
        <v>1.34E-2</v>
      </c>
    </row>
    <row r="9" spans="1:34">
      <c r="A9" s="2675" t="s">
        <v>964</v>
      </c>
      <c r="B9" s="2681">
        <v>392</v>
      </c>
      <c r="C9" s="2681">
        <v>302</v>
      </c>
      <c r="D9" s="2681">
        <f t="shared" si="3"/>
        <v>302</v>
      </c>
      <c r="E9" s="2681">
        <v>553</v>
      </c>
      <c r="F9" s="2682">
        <v>266</v>
      </c>
      <c r="G9" s="3538">
        <v>2016</v>
      </c>
      <c r="H9" s="2676">
        <v>4</v>
      </c>
      <c r="I9" s="2676">
        <v>4.5599999999999996</v>
      </c>
      <c r="J9" s="2676">
        <v>2.15</v>
      </c>
      <c r="K9" s="2676">
        <v>5.32</v>
      </c>
      <c r="L9" s="2677">
        <v>1.57</v>
      </c>
      <c r="N9" s="2684">
        <f t="shared" si="7"/>
        <v>4.5599999999999995E-2</v>
      </c>
      <c r="O9" s="2685">
        <f t="shared" ref="O9:Q24" si="26">J9/100</f>
        <v>2.1499999999999998E-2</v>
      </c>
      <c r="P9" s="2685">
        <f t="shared" si="26"/>
        <v>5.3200000000000004E-2</v>
      </c>
      <c r="Q9" s="2685">
        <f t="shared" si="26"/>
        <v>1.5700000000000002E-2</v>
      </c>
      <c r="R9" s="2686"/>
      <c r="S9" s="2687"/>
      <c r="T9" s="2688"/>
      <c r="U9" s="2688"/>
      <c r="V9" s="2688"/>
      <c r="X9" s="2774">
        <f>ROUND(SUMPRODUCT(PRODUCT(1+N9:N$19)),4)</f>
        <v>1.274</v>
      </c>
      <c r="Y9" s="2774">
        <f>ROUND(SUMPRODUCT(PRODUCT(1+O9:O$19)),4)</f>
        <v>1.1740999999999999</v>
      </c>
      <c r="Z9" s="2774">
        <f t="shared" si="0"/>
        <v>1.1740999999999999</v>
      </c>
      <c r="AA9" s="2774">
        <f>ROUND(SUMPRODUCT(PRODUCT(1+P9:P$19)),4)</f>
        <v>1.3087</v>
      </c>
      <c r="AB9" s="2774">
        <f>ROUND(SUMPRODUCT(PRODUCT(1+Q9:Q$19)),4)</f>
        <v>1.1551</v>
      </c>
      <c r="AD9" s="2694">
        <f>ROUND(AVERAGE(I9:I$20)/100,4)</f>
        <v>2.3E-2</v>
      </c>
      <c r="AE9" s="2694">
        <f>ROUND(AVERAGE(J9:J$20)/100,4)</f>
        <v>1.55E-2</v>
      </c>
      <c r="AF9" s="2694">
        <f t="shared" si="1"/>
        <v>1.55E-2</v>
      </c>
      <c r="AG9" s="2694">
        <f>ROUND(AVERAGE(K9:K$20)/100,4)</f>
        <v>2.5600000000000001E-2</v>
      </c>
      <c r="AH9" s="2694">
        <f>ROUND(AVERAGE(L9:L$20)/100,4)</f>
        <v>1.32E-2</v>
      </c>
    </row>
    <row r="10" spans="1:34">
      <c r="A10" s="2675" t="s">
        <v>963</v>
      </c>
      <c r="B10" s="2689">
        <f t="shared" ref="B10:C12" si="27">B9/(1+N9)</f>
        <v>374.90436113236416</v>
      </c>
      <c r="C10" s="2689">
        <f t="shared" si="27"/>
        <v>295.64366128242779</v>
      </c>
      <c r="D10" s="2689">
        <f t="shared" ref="D10:D69" si="28">C10</f>
        <v>295.64366128242779</v>
      </c>
      <c r="E10" s="2689">
        <f t="shared" ref="E10:F12" si="29">E9/(1+P9)</f>
        <v>525.06646410938095</v>
      </c>
      <c r="F10" s="2689">
        <f t="shared" si="29"/>
        <v>261.88835286009646</v>
      </c>
      <c r="G10" s="3533"/>
      <c r="H10" s="2679">
        <v>3</v>
      </c>
      <c r="I10" s="2679">
        <v>4.12</v>
      </c>
      <c r="J10" s="2679">
        <v>2</v>
      </c>
      <c r="K10" s="2679">
        <v>4.79</v>
      </c>
      <c r="L10" s="2690">
        <v>1.97</v>
      </c>
      <c r="N10" s="2684">
        <f t="shared" ref="N10:Q44" si="30">I10/100</f>
        <v>4.1200000000000001E-2</v>
      </c>
      <c r="O10" s="2685">
        <f t="shared" si="26"/>
        <v>0.02</v>
      </c>
      <c r="P10" s="2685">
        <f t="shared" si="26"/>
        <v>4.7899999999999998E-2</v>
      </c>
      <c r="Q10" s="2685">
        <f t="shared" si="26"/>
        <v>1.9699999999999999E-2</v>
      </c>
      <c r="R10" s="2686"/>
      <c r="S10" s="2684"/>
      <c r="T10" s="2685"/>
      <c r="U10" s="2685"/>
      <c r="V10" s="2685"/>
      <c r="X10" s="2774">
        <f>ROUND(SUMPRODUCT(PRODUCT(1+N10:N$19)),4)</f>
        <v>1.2184999999999999</v>
      </c>
      <c r="Y10" s="2774">
        <f>ROUND(SUMPRODUCT(PRODUCT(1+O10:O$19)),4)</f>
        <v>1.1494</v>
      </c>
      <c r="Z10" s="2774">
        <f t="shared" si="0"/>
        <v>1.1494</v>
      </c>
      <c r="AA10" s="2774">
        <f>ROUND(SUMPRODUCT(PRODUCT(1+P10:P$19)),4)</f>
        <v>1.2425999999999999</v>
      </c>
      <c r="AB10" s="2774">
        <f>ROUND(SUMPRODUCT(PRODUCT(1+Q10:Q$19)),4)</f>
        <v>1.1372</v>
      </c>
      <c r="AD10" s="2694">
        <f>ROUND(AVERAGE(I10:I$20)/100,4)</f>
        <v>2.0899999999999998E-2</v>
      </c>
      <c r="AE10" s="2694">
        <f>ROUND(AVERAGE(J10:J$20)/100,4)</f>
        <v>1.49E-2</v>
      </c>
      <c r="AF10" s="2694">
        <f t="shared" si="1"/>
        <v>1.49E-2</v>
      </c>
      <c r="AG10" s="2694">
        <f>ROUND(AVERAGE(K10:K$20)/100,4)</f>
        <v>2.3099999999999999E-2</v>
      </c>
      <c r="AH10" s="2694">
        <f>ROUND(AVERAGE(L10:L$20)/100,4)</f>
        <v>1.2999999999999999E-2</v>
      </c>
    </row>
    <row r="11" spans="1:34">
      <c r="A11" s="2675" t="s">
        <v>953</v>
      </c>
      <c r="B11" s="2689">
        <f t="shared" si="27"/>
        <v>360.06949782209392</v>
      </c>
      <c r="C11" s="2689">
        <f t="shared" si="27"/>
        <v>289.84672674747821</v>
      </c>
      <c r="D11" s="2689">
        <f t="shared" si="28"/>
        <v>289.84672674747821</v>
      </c>
      <c r="E11" s="2689">
        <f t="shared" si="29"/>
        <v>501.06543001181495</v>
      </c>
      <c r="F11" s="2689">
        <f t="shared" si="29"/>
        <v>256.82882500744967</v>
      </c>
      <c r="G11" s="3533"/>
      <c r="H11" s="2680">
        <v>2</v>
      </c>
      <c r="I11" s="2680">
        <v>3.85</v>
      </c>
      <c r="J11" s="2680">
        <v>1.95</v>
      </c>
      <c r="K11" s="2680">
        <v>4.4800000000000004</v>
      </c>
      <c r="L11" s="2691">
        <v>1.41</v>
      </c>
      <c r="N11" s="2684">
        <f t="shared" si="30"/>
        <v>3.85E-2</v>
      </c>
      <c r="O11" s="2685">
        <f t="shared" si="26"/>
        <v>1.95E-2</v>
      </c>
      <c r="P11" s="2685">
        <f t="shared" si="26"/>
        <v>4.4800000000000006E-2</v>
      </c>
      <c r="Q11" s="2685">
        <f t="shared" si="26"/>
        <v>1.41E-2</v>
      </c>
      <c r="R11" s="2686"/>
      <c r="S11" s="2684"/>
      <c r="T11" s="2685"/>
      <c r="U11" s="2685"/>
      <c r="V11" s="2685"/>
      <c r="X11" s="2774">
        <f>ROUND(SUMPRODUCT(PRODUCT(1+N11:N$19)),4)</f>
        <v>1.1702999999999999</v>
      </c>
      <c r="Y11" s="2774">
        <f>ROUND(SUMPRODUCT(PRODUCT(1+O11:O$19)),4)</f>
        <v>1.1269</v>
      </c>
      <c r="Z11" s="2774">
        <f t="shared" si="0"/>
        <v>1.1269</v>
      </c>
      <c r="AA11" s="2774">
        <f>ROUND(SUMPRODUCT(PRODUCT(1+P11:P$19)),4)</f>
        <v>1.1858</v>
      </c>
      <c r="AB11" s="2774">
        <f>ROUND(SUMPRODUCT(PRODUCT(1+Q11:Q$19)),4)</f>
        <v>1.1152</v>
      </c>
      <c r="AD11" s="2694">
        <f>ROUND(AVERAGE(I11:I$20)/100,4)</f>
        <v>1.89E-2</v>
      </c>
      <c r="AE11" s="2694">
        <f>ROUND(AVERAGE(J11:J$20)/100,4)</f>
        <v>1.44E-2</v>
      </c>
      <c r="AF11" s="2694">
        <f t="shared" si="1"/>
        <v>1.44E-2</v>
      </c>
      <c r="AG11" s="2694">
        <f>ROUND(AVERAGE(K11:K$20)/100,4)</f>
        <v>2.06E-2</v>
      </c>
      <c r="AH11" s="2694">
        <f>ROUND(AVERAGE(L11:L$20)/100,4)</f>
        <v>1.23E-2</v>
      </c>
    </row>
    <row r="12" spans="1:34" ht="13.5" thickBot="1">
      <c r="A12" s="2675" t="s">
        <v>962</v>
      </c>
      <c r="B12" s="2689">
        <f t="shared" si="27"/>
        <v>346.720748986128</v>
      </c>
      <c r="C12" s="2689">
        <f t="shared" si="27"/>
        <v>284.30282172386285</v>
      </c>
      <c r="D12" s="2689">
        <f t="shared" si="28"/>
        <v>284.30282172386285</v>
      </c>
      <c r="E12" s="2689">
        <f t="shared" si="29"/>
        <v>479.58023546306947</v>
      </c>
      <c r="F12" s="2689">
        <f t="shared" si="29"/>
        <v>253.25788877571213</v>
      </c>
      <c r="G12" s="3534"/>
      <c r="H12" s="2679">
        <v>1</v>
      </c>
      <c r="I12" s="2679">
        <v>4.09</v>
      </c>
      <c r="J12" s="2679">
        <v>2.93</v>
      </c>
      <c r="K12" s="2679">
        <v>4.54</v>
      </c>
      <c r="L12" s="2690">
        <v>1.48</v>
      </c>
      <c r="N12" s="2684">
        <f t="shared" si="30"/>
        <v>4.0899999999999999E-2</v>
      </c>
      <c r="O12" s="2685">
        <f t="shared" si="26"/>
        <v>2.9300000000000003E-2</v>
      </c>
      <c r="P12" s="2685">
        <f t="shared" si="26"/>
        <v>4.5400000000000003E-2</v>
      </c>
      <c r="Q12" s="2685">
        <f t="shared" si="26"/>
        <v>1.4800000000000001E-2</v>
      </c>
      <c r="R12" s="2686"/>
      <c r="S12" s="2692">
        <f>B12/B13-1</f>
        <v>4.1203450408792808E-2</v>
      </c>
      <c r="T12" s="2693">
        <f>C12/C13-1</f>
        <v>2.6363977342465095E-2</v>
      </c>
      <c r="U12" s="2693">
        <f>E12/E13-1</f>
        <v>4.4837114298626357E-2</v>
      </c>
      <c r="V12" s="2693">
        <f>F12/F13-1</f>
        <v>1.7099954922538574E-2</v>
      </c>
      <c r="X12" s="2774">
        <f>ROUND(SUMPRODUCT(PRODUCT(1+N12:N$19)),4)</f>
        <v>1.1269</v>
      </c>
      <c r="Y12" s="2774">
        <f>ROUND(SUMPRODUCT(PRODUCT(1+O12:O$19)),4)</f>
        <v>1.1052999999999999</v>
      </c>
      <c r="Z12" s="2774">
        <f t="shared" si="0"/>
        <v>1.1052999999999999</v>
      </c>
      <c r="AA12" s="2774">
        <f>ROUND(SUMPRODUCT(PRODUCT(1+P12:P$19)),4)</f>
        <v>1.1349</v>
      </c>
      <c r="AB12" s="2774">
        <f>ROUND(SUMPRODUCT(PRODUCT(1+Q12:Q$19)),4)</f>
        <v>1.0996999999999999</v>
      </c>
      <c r="AD12" s="2694">
        <f>ROUND(AVERAGE(I12:I$20)/100,4)</f>
        <v>1.67E-2</v>
      </c>
      <c r="AE12" s="2694">
        <f>ROUND(AVERAGE(J12:J$20)/100,4)</f>
        <v>1.38E-2</v>
      </c>
      <c r="AF12" s="2694">
        <f t="shared" si="1"/>
        <v>1.38E-2</v>
      </c>
      <c r="AG12" s="2694">
        <f>ROUND(AVERAGE(K12:K$20)/100,4)</f>
        <v>1.7899999999999999E-2</v>
      </c>
      <c r="AH12" s="2694">
        <f>ROUND(AVERAGE(L12:L$20)/100,4)</f>
        <v>1.21E-2</v>
      </c>
    </row>
    <row r="13" spans="1:34" ht="13.5" thickBot="1">
      <c r="A13" s="2675" t="s">
        <v>961</v>
      </c>
      <c r="B13" s="2681">
        <v>333</v>
      </c>
      <c r="C13" s="2681">
        <v>277</v>
      </c>
      <c r="D13" s="2681">
        <f t="shared" si="28"/>
        <v>277</v>
      </c>
      <c r="E13" s="2681">
        <v>459</v>
      </c>
      <c r="F13" s="2682">
        <v>249</v>
      </c>
      <c r="G13" s="3532">
        <v>2015</v>
      </c>
      <c r="H13" s="2695">
        <v>4</v>
      </c>
      <c r="I13" s="2695">
        <v>1.63</v>
      </c>
      <c r="J13" s="2695">
        <v>1.1100000000000001</v>
      </c>
      <c r="K13" s="2695">
        <v>1.77</v>
      </c>
      <c r="L13" s="2696">
        <v>1.89</v>
      </c>
      <c r="N13" s="2697">
        <f t="shared" si="30"/>
        <v>1.6299999999999999E-2</v>
      </c>
      <c r="O13" s="2698">
        <f t="shared" si="26"/>
        <v>1.11E-2</v>
      </c>
      <c r="P13" s="2698">
        <f t="shared" si="26"/>
        <v>1.77E-2</v>
      </c>
      <c r="Q13" s="2698">
        <f t="shared" si="26"/>
        <v>1.89E-2</v>
      </c>
      <c r="R13" s="2686"/>
      <c r="X13" s="2774">
        <f>ROUND(SUMPRODUCT(PRODUCT(1+N13:N$19)),4)</f>
        <v>1.0826</v>
      </c>
      <c r="Y13" s="2774">
        <f>ROUND(SUMPRODUCT(PRODUCT(1+O13:O$19)),4)</f>
        <v>1.0738000000000001</v>
      </c>
      <c r="Z13" s="2774">
        <f t="shared" si="0"/>
        <v>1.0738000000000001</v>
      </c>
      <c r="AA13" s="2774">
        <f>ROUND(SUMPRODUCT(PRODUCT(1+P13:P$19)),4)</f>
        <v>1.0855999999999999</v>
      </c>
      <c r="AB13" s="2774">
        <f>ROUND(SUMPRODUCT(PRODUCT(1+Q13:Q$19)),4)</f>
        <v>1.0837000000000001</v>
      </c>
      <c r="AD13" s="2694">
        <f>ROUND(AVERAGE(I13:I$20)/100,4)</f>
        <v>1.37E-2</v>
      </c>
      <c r="AE13" s="2694">
        <f>ROUND(AVERAGE(J13:J$20)/100,4)</f>
        <v>1.1900000000000001E-2</v>
      </c>
      <c r="AF13" s="2694">
        <f t="shared" si="1"/>
        <v>1.1900000000000001E-2</v>
      </c>
      <c r="AG13" s="2694">
        <f>ROUND(AVERAGE(K13:K$20)/100,4)</f>
        <v>1.4500000000000001E-2</v>
      </c>
      <c r="AH13" s="2694">
        <f>ROUND(AVERAGE(L13:L$20)/100,4)</f>
        <v>1.18E-2</v>
      </c>
    </row>
    <row r="14" spans="1:34">
      <c r="A14" s="2675" t="s">
        <v>960</v>
      </c>
      <c r="B14" s="2689">
        <f t="shared" ref="B14:C16" si="31">B13/(1+N13)</f>
        <v>327.65915576109415</v>
      </c>
      <c r="C14" s="2689">
        <f t="shared" si="31"/>
        <v>273.95905449510434</v>
      </c>
      <c r="D14" s="2689">
        <f t="shared" si="28"/>
        <v>273.95905449510434</v>
      </c>
      <c r="E14" s="2689">
        <f t="shared" ref="E14:F16" si="32">E13/(1+P13)</f>
        <v>451.01699911565294</v>
      </c>
      <c r="F14" s="2689">
        <f t="shared" si="32"/>
        <v>244.38119540681129</v>
      </c>
      <c r="G14" s="3533"/>
      <c r="H14" s="2700">
        <v>3</v>
      </c>
      <c r="I14" s="2700">
        <v>1.65</v>
      </c>
      <c r="J14" s="2700">
        <v>0.92</v>
      </c>
      <c r="K14" s="2700">
        <v>1.88</v>
      </c>
      <c r="L14" s="2701">
        <v>1.26</v>
      </c>
      <c r="N14" s="2684">
        <f t="shared" si="30"/>
        <v>1.6500000000000001E-2</v>
      </c>
      <c r="O14" s="2702">
        <f t="shared" si="26"/>
        <v>9.1999999999999998E-3</v>
      </c>
      <c r="P14" s="2702">
        <f t="shared" si="26"/>
        <v>1.8799999999999997E-2</v>
      </c>
      <c r="Q14" s="2702">
        <f t="shared" si="26"/>
        <v>1.26E-2</v>
      </c>
      <c r="R14" s="2686"/>
      <c r="S14" s="2684"/>
      <c r="T14" s="2685"/>
      <c r="U14" s="2685"/>
      <c r="V14" s="2685"/>
      <c r="X14" s="2774">
        <f>ROUND(SUMPRODUCT(PRODUCT(1+N14:N$19)),4)</f>
        <v>1.0651999999999999</v>
      </c>
      <c r="Y14" s="2774">
        <f>ROUND(SUMPRODUCT(PRODUCT(1+O14:O$19)),4)</f>
        <v>1.0621</v>
      </c>
      <c r="Z14" s="2774">
        <f t="shared" si="0"/>
        <v>1.0621</v>
      </c>
      <c r="AA14" s="2774">
        <f>ROUND(SUMPRODUCT(PRODUCT(1+P14:P$19)),4)</f>
        <v>1.0668</v>
      </c>
      <c r="AB14" s="2774">
        <f>ROUND(SUMPRODUCT(PRODUCT(1+Q14:Q$19)),4)</f>
        <v>1.0636000000000001</v>
      </c>
      <c r="AD14" s="2694">
        <f>ROUND(AVERAGE(I14:I$20)/100,4)</f>
        <v>1.3299999999999999E-2</v>
      </c>
      <c r="AE14" s="2694">
        <f>ROUND(AVERAGE(J14:J$20)/100,4)</f>
        <v>1.2E-2</v>
      </c>
      <c r="AF14" s="2694">
        <f t="shared" si="1"/>
        <v>1.2E-2</v>
      </c>
      <c r="AG14" s="2694">
        <f>ROUND(AVERAGE(K14:K$20)/100,4)</f>
        <v>1.4E-2</v>
      </c>
      <c r="AH14" s="2694">
        <f>ROUND(AVERAGE(L14:L$20)/100,4)</f>
        <v>1.0800000000000001E-2</v>
      </c>
    </row>
    <row r="15" spans="1:34">
      <c r="A15" s="2675" t="s">
        <v>959</v>
      </c>
      <c r="B15" s="2689">
        <f t="shared" si="31"/>
        <v>322.34053690220776</v>
      </c>
      <c r="C15" s="2689">
        <f t="shared" si="31"/>
        <v>271.46160770422546</v>
      </c>
      <c r="D15" s="2689">
        <f t="shared" si="28"/>
        <v>271.46160770422546</v>
      </c>
      <c r="E15" s="2689">
        <f t="shared" si="32"/>
        <v>442.69434542172456</v>
      </c>
      <c r="F15" s="2689">
        <f t="shared" si="32"/>
        <v>241.34030753190925</v>
      </c>
      <c r="G15" s="3533"/>
      <c r="H15" s="2680">
        <v>2</v>
      </c>
      <c r="I15" s="2680">
        <v>0.77</v>
      </c>
      <c r="J15" s="2680">
        <v>0.69</v>
      </c>
      <c r="K15" s="2680">
        <v>0.8</v>
      </c>
      <c r="L15" s="2691">
        <v>0.88</v>
      </c>
      <c r="N15" s="2684">
        <f t="shared" si="30"/>
        <v>7.7000000000000002E-3</v>
      </c>
      <c r="O15" s="2702">
        <f t="shared" si="26"/>
        <v>6.8999999999999999E-3</v>
      </c>
      <c r="P15" s="2702">
        <f t="shared" si="26"/>
        <v>8.0000000000000002E-3</v>
      </c>
      <c r="Q15" s="2702">
        <f t="shared" si="26"/>
        <v>8.8000000000000005E-3</v>
      </c>
      <c r="R15" s="2686"/>
      <c r="S15" s="2684"/>
      <c r="T15" s="2685"/>
      <c r="U15" s="2685"/>
      <c r="V15" s="2685"/>
      <c r="X15" s="2774">
        <f>ROUND(SUMPRODUCT(PRODUCT(1+N15:N$19)),4)</f>
        <v>1.048</v>
      </c>
      <c r="Y15" s="2774">
        <f>ROUND(SUMPRODUCT(PRODUCT(1+O15:O$19)),4)</f>
        <v>1.0524</v>
      </c>
      <c r="Z15" s="2774">
        <f t="shared" si="0"/>
        <v>1.0524</v>
      </c>
      <c r="AA15" s="2774">
        <f>ROUND(SUMPRODUCT(PRODUCT(1+P15:P$19)),4)</f>
        <v>1.0470999999999999</v>
      </c>
      <c r="AB15" s="2774">
        <f>ROUND(SUMPRODUCT(PRODUCT(1+Q15:Q$19)),4)</f>
        <v>1.0504</v>
      </c>
      <c r="AD15" s="2694">
        <f>ROUND(AVERAGE(I15:I$20)/100,4)</f>
        <v>1.2800000000000001E-2</v>
      </c>
      <c r="AE15" s="2694">
        <f>ROUND(AVERAGE(J15:J$20)/100,4)</f>
        <v>1.2500000000000001E-2</v>
      </c>
      <c r="AF15" s="2694">
        <f t="shared" si="1"/>
        <v>1.2500000000000001E-2</v>
      </c>
      <c r="AG15" s="2694">
        <f>ROUND(AVERAGE(K15:K$20)/100,4)</f>
        <v>1.32E-2</v>
      </c>
      <c r="AH15" s="2694">
        <f>ROUND(AVERAGE(L15:L$20)/100,4)</f>
        <v>1.0500000000000001E-2</v>
      </c>
    </row>
    <row r="16" spans="1:34">
      <c r="A16" s="2675" t="s">
        <v>958</v>
      </c>
      <c r="B16" s="2689">
        <f t="shared" si="31"/>
        <v>319.87748030386797</v>
      </c>
      <c r="C16" s="2689">
        <f t="shared" si="31"/>
        <v>269.60135833173649</v>
      </c>
      <c r="D16" s="2689">
        <f t="shared" si="28"/>
        <v>269.60135833173649</v>
      </c>
      <c r="E16" s="2689">
        <f t="shared" si="32"/>
        <v>439.18089823583784</v>
      </c>
      <c r="F16" s="2689">
        <f t="shared" si="32"/>
        <v>239.23503918706311</v>
      </c>
      <c r="G16" s="3534"/>
      <c r="H16" s="2679">
        <v>1</v>
      </c>
      <c r="I16" s="2679">
        <v>0.51</v>
      </c>
      <c r="J16" s="2679">
        <v>0.54</v>
      </c>
      <c r="K16" s="2679">
        <v>0.48</v>
      </c>
      <c r="L16" s="2690">
        <v>0.93</v>
      </c>
      <c r="N16" s="2692">
        <f t="shared" si="30"/>
        <v>5.1000000000000004E-3</v>
      </c>
      <c r="O16" s="2693">
        <f t="shared" si="26"/>
        <v>5.4000000000000003E-3</v>
      </c>
      <c r="P16" s="2693">
        <f t="shared" si="26"/>
        <v>4.7999999999999996E-3</v>
      </c>
      <c r="Q16" s="2693">
        <f t="shared" si="26"/>
        <v>9.300000000000001E-3</v>
      </c>
      <c r="R16" s="2686"/>
      <c r="S16" s="2692">
        <f>B16/B17-1</f>
        <v>5.9040261127922822E-3</v>
      </c>
      <c r="T16" s="2693">
        <f>C16/C17-1</f>
        <v>5.9752176557332781E-3</v>
      </c>
      <c r="U16" s="2693">
        <f>E16/E17-1</f>
        <v>4.9906138119859556E-3</v>
      </c>
      <c r="V16" s="2693">
        <f>F16/F17-1</f>
        <v>9.4305450930933787E-3</v>
      </c>
      <c r="X16" s="2774">
        <f>ROUND(SUMPRODUCT(PRODUCT(1+N16:N$19)),4)</f>
        <v>1.0399</v>
      </c>
      <c r="Y16" s="2774">
        <f>ROUND(SUMPRODUCT(PRODUCT(1+O16:O$19)),4)</f>
        <v>1.0451999999999999</v>
      </c>
      <c r="Z16" s="2774">
        <f t="shared" si="0"/>
        <v>1.0451999999999999</v>
      </c>
      <c r="AA16" s="2774">
        <f>ROUND(SUMPRODUCT(PRODUCT(1+P16:P$19)),4)</f>
        <v>1.0387999999999999</v>
      </c>
      <c r="AB16" s="2774">
        <f>ROUND(SUMPRODUCT(PRODUCT(1+Q16:Q$19)),4)</f>
        <v>1.0411999999999999</v>
      </c>
      <c r="AD16" s="2694">
        <f>ROUND(AVERAGE(I16:I$20)/100,4)</f>
        <v>1.38E-2</v>
      </c>
      <c r="AE16" s="2694">
        <f>ROUND(AVERAGE(J16:J$20)/100,4)</f>
        <v>1.3599999999999999E-2</v>
      </c>
      <c r="AF16" s="2694">
        <f t="shared" si="1"/>
        <v>1.3599999999999999E-2</v>
      </c>
      <c r="AG16" s="2694">
        <f>ROUND(AVERAGE(K16:K$20)/100,4)</f>
        <v>1.4200000000000001E-2</v>
      </c>
      <c r="AH16" s="2694">
        <f>ROUND(AVERAGE(L16:L$20)/100,4)</f>
        <v>1.0800000000000001E-2</v>
      </c>
    </row>
    <row r="17" spans="1:34" ht="13.5" thickBot="1">
      <c r="A17" s="2675" t="s">
        <v>957</v>
      </c>
      <c r="B17" s="2703">
        <v>318</v>
      </c>
      <c r="C17" s="2703">
        <v>268</v>
      </c>
      <c r="D17" s="2703">
        <f t="shared" si="28"/>
        <v>268</v>
      </c>
      <c r="E17" s="2703">
        <v>437</v>
      </c>
      <c r="F17" s="2704">
        <v>237</v>
      </c>
      <c r="G17" s="3532">
        <v>2014</v>
      </c>
      <c r="H17" s="2695">
        <v>4</v>
      </c>
      <c r="I17" s="2695">
        <v>0.21</v>
      </c>
      <c r="J17" s="2695">
        <v>0.41</v>
      </c>
      <c r="K17" s="2695">
        <v>0.12</v>
      </c>
      <c r="L17" s="2696">
        <v>0.89</v>
      </c>
      <c r="N17" s="2684">
        <f t="shared" si="30"/>
        <v>2.0999999999999999E-3</v>
      </c>
      <c r="O17" s="2685">
        <f t="shared" si="26"/>
        <v>4.0999999999999995E-3</v>
      </c>
      <c r="P17" s="2685">
        <f t="shared" si="26"/>
        <v>1.1999999999999999E-3</v>
      </c>
      <c r="Q17" s="2685">
        <f t="shared" si="26"/>
        <v>8.8999999999999999E-3</v>
      </c>
      <c r="R17" s="2686"/>
      <c r="S17" s="2687"/>
      <c r="T17" s="2688"/>
      <c r="U17" s="2688"/>
      <c r="V17" s="2688"/>
      <c r="X17" s="2774">
        <f>ROUND(SUMPRODUCT(PRODUCT(1+N17:N$19)),4)</f>
        <v>1.0347</v>
      </c>
      <c r="Y17" s="2774">
        <f>ROUND(SUMPRODUCT(PRODUCT(1+O17:O$19)),4)</f>
        <v>1.0395000000000001</v>
      </c>
      <c r="Z17" s="2774">
        <f t="shared" si="0"/>
        <v>1.0395000000000001</v>
      </c>
      <c r="AA17" s="2774">
        <f>ROUND(SUMPRODUCT(PRODUCT(1+P17:P$19)),4)</f>
        <v>1.0338000000000001</v>
      </c>
      <c r="AB17" s="2774">
        <f>ROUND(SUMPRODUCT(PRODUCT(1+Q17:Q$19)),4)</f>
        <v>1.0316000000000001</v>
      </c>
      <c r="AD17" s="2694">
        <f>ROUND(AVERAGE(I17:I$20)/100,4)</f>
        <v>1.6E-2</v>
      </c>
      <c r="AE17" s="2694">
        <f>ROUND(AVERAGE(J17:J$20)/100,4)</f>
        <v>1.5599999999999999E-2</v>
      </c>
      <c r="AF17" s="2694">
        <f t="shared" si="1"/>
        <v>1.5599999999999999E-2</v>
      </c>
      <c r="AG17" s="2694">
        <f>ROUND(AVERAGE(K17:K$20)/100,4)</f>
        <v>1.66E-2</v>
      </c>
      <c r="AH17" s="2694">
        <f>ROUND(AVERAGE(L17:L$20)/100,4)</f>
        <v>1.12E-2</v>
      </c>
    </row>
    <row r="18" spans="1:34">
      <c r="A18" s="2675" t="s">
        <v>956</v>
      </c>
      <c r="B18" s="2689">
        <f t="shared" ref="B18:C20" si="33">B17/(1+N17)</f>
        <v>317.33359944117353</v>
      </c>
      <c r="C18" s="2689">
        <f t="shared" si="33"/>
        <v>266.90568668459315</v>
      </c>
      <c r="D18" s="2689">
        <f t="shared" si="28"/>
        <v>266.90568668459315</v>
      </c>
      <c r="E18" s="2689">
        <f t="shared" ref="E18:F20" si="34">E17/(1+P17)</f>
        <v>436.47622852576905</v>
      </c>
      <c r="F18" s="2689">
        <f t="shared" si="34"/>
        <v>234.90930716622066</v>
      </c>
      <c r="G18" s="3533"/>
      <c r="H18" s="2705">
        <v>3</v>
      </c>
      <c r="I18" s="2705">
        <v>0.83</v>
      </c>
      <c r="J18" s="2705">
        <v>1.47</v>
      </c>
      <c r="K18" s="2705">
        <v>0.65</v>
      </c>
      <c r="L18" s="2706">
        <v>0.72</v>
      </c>
      <c r="N18" s="2684">
        <f t="shared" si="30"/>
        <v>8.3000000000000001E-3</v>
      </c>
      <c r="O18" s="2685">
        <f t="shared" si="26"/>
        <v>1.47E-2</v>
      </c>
      <c r="P18" s="2685">
        <f t="shared" si="26"/>
        <v>6.5000000000000006E-3</v>
      </c>
      <c r="Q18" s="2685">
        <f t="shared" si="26"/>
        <v>7.1999999999999998E-3</v>
      </c>
      <c r="R18" s="2686"/>
      <c r="S18" s="2684"/>
      <c r="T18" s="2685"/>
      <c r="U18" s="2685"/>
      <c r="V18" s="2685"/>
      <c r="X18" s="2774">
        <f>ROUND(SUMPRODUCT(PRODUCT(1+N18:N$19)),4)</f>
        <v>1.0325</v>
      </c>
      <c r="Y18" s="2774">
        <f>ROUND(SUMPRODUCT(PRODUCT(1+O18:O$19)),4)</f>
        <v>1.0353000000000001</v>
      </c>
      <c r="Z18" s="2774">
        <f t="shared" ref="Z18:Z19" si="35">Y18</f>
        <v>1.0353000000000001</v>
      </c>
      <c r="AA18" s="2774">
        <f>ROUND(SUMPRODUCT(PRODUCT(1+P18:P$19)),4)</f>
        <v>1.0326</v>
      </c>
      <c r="AB18" s="2774">
        <f>ROUND(SUMPRODUCT(PRODUCT(1+Q18:Q$19)),4)</f>
        <v>1.0225</v>
      </c>
      <c r="AD18" s="2694">
        <f>ROUND(AVERAGE(I18:I$20)/100,4)</f>
        <v>2.07E-2</v>
      </c>
      <c r="AE18" s="2694">
        <f>ROUND(AVERAGE(J18:J$20)/100,4)</f>
        <v>1.95E-2</v>
      </c>
      <c r="AF18" s="2694">
        <f t="shared" si="1"/>
        <v>1.95E-2</v>
      </c>
      <c r="AG18" s="2694">
        <f>ROUND(AVERAGE(K18:K$20)/100,4)</f>
        <v>2.1700000000000001E-2</v>
      </c>
      <c r="AH18" s="2694">
        <f>ROUND(AVERAGE(L18:L$20)/100,4)</f>
        <v>1.2E-2</v>
      </c>
    </row>
    <row r="19" spans="1:34" ht="13.5" thickBot="1">
      <c r="A19" s="2675" t="s">
        <v>955</v>
      </c>
      <c r="B19" s="2689">
        <f t="shared" si="33"/>
        <v>314.72141172386546</v>
      </c>
      <c r="C19" s="2689">
        <f t="shared" si="33"/>
        <v>263.03901319069001</v>
      </c>
      <c r="D19" s="2689">
        <f t="shared" si="28"/>
        <v>263.03901319069001</v>
      </c>
      <c r="E19" s="2689">
        <f t="shared" si="34"/>
        <v>433.65745506782821</v>
      </c>
      <c r="F19" s="2689">
        <f t="shared" si="34"/>
        <v>233.23005080045735</v>
      </c>
      <c r="G19" s="3533"/>
      <c r="H19" s="2695">
        <v>2</v>
      </c>
      <c r="I19" s="2695">
        <v>2.4</v>
      </c>
      <c r="J19" s="2695">
        <v>2.0299999999999998</v>
      </c>
      <c r="K19" s="2695">
        <v>2.59</v>
      </c>
      <c r="L19" s="2696">
        <v>1.52</v>
      </c>
      <c r="N19" s="2684">
        <f t="shared" si="30"/>
        <v>2.4E-2</v>
      </c>
      <c r="O19" s="2685">
        <f t="shared" si="26"/>
        <v>2.0299999999999999E-2</v>
      </c>
      <c r="P19" s="2685">
        <f t="shared" si="26"/>
        <v>2.5899999999999999E-2</v>
      </c>
      <c r="Q19" s="2685">
        <f t="shared" si="26"/>
        <v>1.52E-2</v>
      </c>
      <c r="R19" s="2686"/>
      <c r="S19" s="2684"/>
      <c r="T19" s="2685"/>
      <c r="U19" s="2685"/>
      <c r="V19" s="2685"/>
      <c r="X19" s="2774">
        <f>1+N19</f>
        <v>1.024</v>
      </c>
      <c r="Y19" s="2774">
        <f>1+O19</f>
        <v>1.0203</v>
      </c>
      <c r="Z19" s="2774">
        <f t="shared" si="35"/>
        <v>1.0203</v>
      </c>
      <c r="AA19" s="2774">
        <f>1+P19</f>
        <v>1.0259</v>
      </c>
      <c r="AB19" s="2774">
        <f>1+Q19</f>
        <v>1.0152000000000001</v>
      </c>
      <c r="AD19" s="2694">
        <f>ROUND(AVERAGE(I19:I$20)/100,4)</f>
        <v>2.69E-2</v>
      </c>
      <c r="AE19" s="2694">
        <f>ROUND(AVERAGE(J19:J$20)/100,4)</f>
        <v>2.1899999999999999E-2</v>
      </c>
      <c r="AF19" s="2694">
        <f t="shared" ref="AF19" si="36">AE19</f>
        <v>2.1899999999999999E-2</v>
      </c>
      <c r="AG19" s="2694">
        <f>ROUND(AVERAGE(K19:K$20)/100,4)</f>
        <v>2.9399999999999999E-2</v>
      </c>
      <c r="AH19" s="2694">
        <f>ROUND(AVERAGE(L19:L$20)/100,4)</f>
        <v>1.44E-2</v>
      </c>
    </row>
    <row r="20" spans="1:34" s="2711" customFormat="1" ht="13.5" thickBot="1">
      <c r="A20" s="2707" t="s">
        <v>954</v>
      </c>
      <c r="B20" s="2708">
        <f t="shared" si="33"/>
        <v>307.34512863658733</v>
      </c>
      <c r="C20" s="2708">
        <f t="shared" si="33"/>
        <v>257.80556031626975</v>
      </c>
      <c r="D20" s="2708">
        <f t="shared" si="28"/>
        <v>257.80556031626975</v>
      </c>
      <c r="E20" s="2708">
        <f t="shared" si="34"/>
        <v>422.70928459677179</v>
      </c>
      <c r="F20" s="2708">
        <f t="shared" si="34"/>
        <v>229.73803270336617</v>
      </c>
      <c r="G20" s="3534"/>
      <c r="H20" s="2709">
        <v>1</v>
      </c>
      <c r="I20" s="2709">
        <v>2.97</v>
      </c>
      <c r="J20" s="2709">
        <v>2.34</v>
      </c>
      <c r="K20" s="2709">
        <v>3.28</v>
      </c>
      <c r="L20" s="2710">
        <v>1.36</v>
      </c>
      <c r="N20" s="2712">
        <f t="shared" si="30"/>
        <v>2.9700000000000001E-2</v>
      </c>
      <c r="O20" s="2713">
        <f t="shared" si="26"/>
        <v>2.3399999999999997E-2</v>
      </c>
      <c r="P20" s="2713">
        <f t="shared" si="26"/>
        <v>3.2799999999999996E-2</v>
      </c>
      <c r="Q20" s="2713">
        <f t="shared" si="26"/>
        <v>1.3600000000000001E-2</v>
      </c>
      <c r="R20" s="2714"/>
      <c r="S20" s="2715">
        <f>B20/B21-1</f>
        <v>2.7910129219355539E-2</v>
      </c>
      <c r="T20" s="2716">
        <f>C20/C21-1</f>
        <v>2.3037937762975247E-2</v>
      </c>
      <c r="U20" s="2716">
        <f>E20/E21-1</f>
        <v>3.3519033243940788E-2</v>
      </c>
      <c r="V20" s="2716">
        <f>F20/F21-1</f>
        <v>1.2061818076502862E-2</v>
      </c>
      <c r="W20" s="2784" t="s">
        <v>2639</v>
      </c>
      <c r="X20" s="2786">
        <v>1</v>
      </c>
      <c r="Y20" s="2786">
        <v>1</v>
      </c>
      <c r="Z20" s="2786">
        <v>1</v>
      </c>
      <c r="AA20" s="2786">
        <v>1</v>
      </c>
      <c r="AB20" s="2786">
        <v>1</v>
      </c>
      <c r="AD20" s="3030">
        <f>I20/100</f>
        <v>2.9700000000000001E-2</v>
      </c>
      <c r="AE20" s="3030">
        <f>J20/100</f>
        <v>2.3399999999999997E-2</v>
      </c>
      <c r="AF20" s="3030">
        <f>AE20</f>
        <v>2.3399999999999997E-2</v>
      </c>
      <c r="AG20" s="3030">
        <f>K20/100</f>
        <v>3.2799999999999996E-2</v>
      </c>
      <c r="AH20" s="3030">
        <f>L20/100</f>
        <v>1.3600000000000001E-2</v>
      </c>
    </row>
    <row r="21" spans="1:34" ht="13.5" thickBot="1">
      <c r="A21" s="2675" t="s">
        <v>2581</v>
      </c>
      <c r="B21" s="2681">
        <v>299</v>
      </c>
      <c r="C21" s="2681">
        <v>252</v>
      </c>
      <c r="D21" s="2681">
        <f t="shared" si="28"/>
        <v>252</v>
      </c>
      <c r="E21" s="2681">
        <v>409</v>
      </c>
      <c r="F21" s="2682">
        <v>227</v>
      </c>
      <c r="G21" s="3535">
        <v>2013</v>
      </c>
      <c r="H21" s="2717">
        <v>4</v>
      </c>
      <c r="I21" s="2717">
        <v>1.83</v>
      </c>
      <c r="J21" s="2717">
        <v>1.68</v>
      </c>
      <c r="K21" s="2717">
        <v>1.97</v>
      </c>
      <c r="L21" s="2718">
        <v>0.87</v>
      </c>
      <c r="N21" s="2697">
        <f t="shared" si="30"/>
        <v>1.83E-2</v>
      </c>
      <c r="O21" s="2698">
        <f t="shared" si="26"/>
        <v>1.6799999999999999E-2</v>
      </c>
      <c r="P21" s="2698">
        <f t="shared" si="26"/>
        <v>1.9699999999999999E-2</v>
      </c>
      <c r="Q21" s="2698">
        <f t="shared" si="26"/>
        <v>8.6999999999999994E-3</v>
      </c>
      <c r="R21" s="2686"/>
      <c r="S21" s="2687"/>
      <c r="T21" s="2688"/>
      <c r="U21" s="2688"/>
      <c r="V21" s="2688"/>
      <c r="X21" s="2688"/>
      <c r="Y21" s="2688"/>
      <c r="Z21" s="2688"/>
    </row>
    <row r="22" spans="1:34">
      <c r="A22" s="2675" t="s">
        <v>2582</v>
      </c>
      <c r="B22" s="2689">
        <f t="shared" ref="B22:C24" si="37">B21/(1+N21)</f>
        <v>293.62663262299913</v>
      </c>
      <c r="C22" s="2689">
        <f t="shared" si="37"/>
        <v>247.83634933123525</v>
      </c>
      <c r="D22" s="2689">
        <f t="shared" si="28"/>
        <v>247.83634933123525</v>
      </c>
      <c r="E22" s="2689">
        <f t="shared" ref="E22:F24" si="38">E21/(1+P21)</f>
        <v>401.09836226341076</v>
      </c>
      <c r="F22" s="2689">
        <f t="shared" si="38"/>
        <v>225.04213343908003</v>
      </c>
      <c r="G22" s="3536"/>
      <c r="H22" s="2700">
        <v>3</v>
      </c>
      <c r="I22" s="2700">
        <v>1.86</v>
      </c>
      <c r="J22" s="2700">
        <v>1.72</v>
      </c>
      <c r="K22" s="2700">
        <v>1.98</v>
      </c>
      <c r="L22" s="2701">
        <v>0.88</v>
      </c>
      <c r="N22" s="2684">
        <f t="shared" si="30"/>
        <v>1.8600000000000002E-2</v>
      </c>
      <c r="O22" s="2702">
        <f t="shared" si="26"/>
        <v>1.72E-2</v>
      </c>
      <c r="P22" s="2702">
        <f t="shared" si="26"/>
        <v>1.9799999999999998E-2</v>
      </c>
      <c r="Q22" s="2702">
        <f t="shared" si="26"/>
        <v>8.8000000000000005E-3</v>
      </c>
      <c r="R22" s="2686"/>
      <c r="S22" s="2684"/>
      <c r="T22" s="2685"/>
      <c r="U22" s="2685"/>
      <c r="V22" s="2685"/>
    </row>
    <row r="23" spans="1:34">
      <c r="A23" s="2675" t="s">
        <v>2583</v>
      </c>
      <c r="B23" s="2689">
        <f t="shared" si="37"/>
        <v>288.2649053828776</v>
      </c>
      <c r="C23" s="2689">
        <f t="shared" si="37"/>
        <v>243.64564425013293</v>
      </c>
      <c r="D23" s="2689">
        <f t="shared" si="28"/>
        <v>243.64564425013293</v>
      </c>
      <c r="E23" s="2689">
        <f t="shared" si="38"/>
        <v>393.31080825986544</v>
      </c>
      <c r="F23" s="2689">
        <f t="shared" si="38"/>
        <v>223.07903790551154</v>
      </c>
      <c r="G23" s="3536"/>
      <c r="H23" s="2680">
        <v>2</v>
      </c>
      <c r="I23" s="2680">
        <v>2.04</v>
      </c>
      <c r="J23" s="2680">
        <v>2.33</v>
      </c>
      <c r="K23" s="2680">
        <v>2.0699999999999998</v>
      </c>
      <c r="L23" s="2691">
        <v>0.69</v>
      </c>
      <c r="N23" s="2684">
        <f t="shared" si="30"/>
        <v>2.0400000000000001E-2</v>
      </c>
      <c r="O23" s="2702">
        <f t="shared" si="26"/>
        <v>2.3300000000000001E-2</v>
      </c>
      <c r="P23" s="2702">
        <f t="shared" si="26"/>
        <v>2.07E-2</v>
      </c>
      <c r="Q23" s="2702">
        <f t="shared" si="26"/>
        <v>6.8999999999999999E-3</v>
      </c>
      <c r="R23" s="2686"/>
      <c r="S23" s="2684"/>
      <c r="T23" s="2685"/>
      <c r="U23" s="2685"/>
      <c r="V23" s="2685"/>
      <c r="X23" s="2787"/>
      <c r="Y23" s="2789"/>
    </row>
    <row r="24" spans="1:34">
      <c r="A24" s="2675" t="s">
        <v>2584</v>
      </c>
      <c r="B24" s="2689">
        <f t="shared" si="37"/>
        <v>282.50186729015837</v>
      </c>
      <c r="C24" s="2689">
        <f t="shared" si="37"/>
        <v>238.09796174155468</v>
      </c>
      <c r="D24" s="2689">
        <f t="shared" si="28"/>
        <v>238.09796174155468</v>
      </c>
      <c r="E24" s="2689">
        <f t="shared" si="38"/>
        <v>385.33438646014054</v>
      </c>
      <c r="F24" s="2689">
        <f t="shared" si="38"/>
        <v>221.55034055567739</v>
      </c>
      <c r="G24" s="3537"/>
      <c r="H24" s="2679">
        <v>1</v>
      </c>
      <c r="I24" s="2679">
        <v>1.67</v>
      </c>
      <c r="J24" s="2679">
        <v>1.31</v>
      </c>
      <c r="K24" s="2679">
        <v>1.85</v>
      </c>
      <c r="L24" s="2690">
        <v>0.96</v>
      </c>
      <c r="N24" s="2692">
        <f t="shared" si="30"/>
        <v>1.67E-2</v>
      </c>
      <c r="O24" s="2693">
        <f t="shared" si="26"/>
        <v>1.3100000000000001E-2</v>
      </c>
      <c r="P24" s="2693">
        <f t="shared" si="26"/>
        <v>1.8500000000000003E-2</v>
      </c>
      <c r="Q24" s="2693">
        <f t="shared" si="26"/>
        <v>9.5999999999999992E-3</v>
      </c>
      <c r="R24" s="2686"/>
      <c r="S24" s="2692">
        <f>B24/B25-1</f>
        <v>1.6193767230785472E-2</v>
      </c>
      <c r="T24" s="2693">
        <f>C24/C25-1</f>
        <v>1.7512657015190891E-2</v>
      </c>
      <c r="U24" s="2693">
        <f>E24/E25-1</f>
        <v>1.6713420739157048E-2</v>
      </c>
      <c r="V24" s="2693">
        <f>F24/F25-1</f>
        <v>7.0470025258062563E-3</v>
      </c>
      <c r="X24" s="2788"/>
      <c r="Y24" s="2694"/>
      <c r="Z24" s="2694"/>
    </row>
    <row r="25" spans="1:34" ht="13.5" thickBot="1">
      <c r="A25" s="2675" t="s">
        <v>2585</v>
      </c>
      <c r="B25" s="2719">
        <v>278</v>
      </c>
      <c r="C25" s="2719">
        <v>234</v>
      </c>
      <c r="D25" s="2719">
        <f t="shared" si="28"/>
        <v>234</v>
      </c>
      <c r="E25" s="2719">
        <v>379</v>
      </c>
      <c r="F25" s="2720">
        <v>220</v>
      </c>
      <c r="G25" s="3532">
        <v>2012</v>
      </c>
      <c r="H25" s="2695">
        <v>4</v>
      </c>
      <c r="I25" s="2695">
        <v>0.91</v>
      </c>
      <c r="J25" s="2695">
        <v>0.68</v>
      </c>
      <c r="K25" s="2695">
        <v>0.98</v>
      </c>
      <c r="L25" s="2696">
        <v>0.9</v>
      </c>
      <c r="N25" s="2684">
        <f t="shared" si="30"/>
        <v>9.1000000000000004E-3</v>
      </c>
      <c r="O25" s="2685">
        <f t="shared" si="30"/>
        <v>6.8000000000000005E-3</v>
      </c>
      <c r="P25" s="2685">
        <f t="shared" si="30"/>
        <v>9.7999999999999997E-3</v>
      </c>
      <c r="Q25" s="2685">
        <f t="shared" si="30"/>
        <v>9.0000000000000011E-3</v>
      </c>
      <c r="R25" s="2686"/>
      <c r="S25" s="2687"/>
      <c r="T25" s="2688"/>
      <c r="U25" s="2688"/>
      <c r="V25" s="2688"/>
      <c r="X25" s="2688"/>
      <c r="Y25" s="2688"/>
      <c r="Z25" s="2688"/>
    </row>
    <row r="26" spans="1:34">
      <c r="A26" s="2675" t="s">
        <v>2586</v>
      </c>
      <c r="B26" s="2689">
        <f>B25/(1+N25)</f>
        <v>275.49301357645425</v>
      </c>
      <c r="C26" s="2689">
        <f>C25/(1+O25)</f>
        <v>232.41954707985698</v>
      </c>
      <c r="D26" s="2689">
        <f t="shared" si="28"/>
        <v>232.41954707985698</v>
      </c>
      <c r="E26" s="2689">
        <f t="shared" ref="E26:F28" si="39">E25/(1+P25)</f>
        <v>375.32184591008121</v>
      </c>
      <c r="F26" s="2689">
        <f t="shared" si="39"/>
        <v>218.03766105054513</v>
      </c>
      <c r="G26" s="3533"/>
      <c r="H26" s="2700">
        <v>3</v>
      </c>
      <c r="I26" s="2700">
        <v>0.09</v>
      </c>
      <c r="J26" s="2700">
        <v>0.28999999999999998</v>
      </c>
      <c r="K26" s="2700">
        <v>-0.01</v>
      </c>
      <c r="L26" s="2701">
        <v>0.57999999999999996</v>
      </c>
      <c r="N26" s="2684">
        <f t="shared" si="30"/>
        <v>8.9999999999999998E-4</v>
      </c>
      <c r="O26" s="2685">
        <f t="shared" si="30"/>
        <v>2.8999999999999998E-3</v>
      </c>
      <c r="P26" s="2685">
        <f t="shared" si="30"/>
        <v>-1E-4</v>
      </c>
      <c r="Q26" s="2685">
        <f t="shared" si="30"/>
        <v>5.7999999999999996E-3</v>
      </c>
      <c r="R26" s="2686"/>
      <c r="S26" s="2684"/>
      <c r="T26" s="2685"/>
      <c r="U26" s="2685"/>
      <c r="V26" s="2685"/>
    </row>
    <row r="27" spans="1:34">
      <c r="A27" s="2675" t="s">
        <v>2587</v>
      </c>
      <c r="B27" s="2689">
        <f>B26/(1+N26)</f>
        <v>275.24529281292263</v>
      </c>
      <c r="C27" s="2689">
        <f>C26/(1+O26)</f>
        <v>231.74747938962707</v>
      </c>
      <c r="D27" s="2689">
        <f t="shared" si="28"/>
        <v>231.74747938962707</v>
      </c>
      <c r="E27" s="2689">
        <f t="shared" si="39"/>
        <v>375.35938184826603</v>
      </c>
      <c r="F27" s="2689">
        <f t="shared" si="39"/>
        <v>216.78033510692495</v>
      </c>
      <c r="G27" s="3533"/>
      <c r="H27" s="2680">
        <v>2</v>
      </c>
      <c r="I27" s="2680">
        <v>0.02</v>
      </c>
      <c r="J27" s="2680">
        <v>0.12</v>
      </c>
      <c r="K27" s="2680">
        <v>-0.08</v>
      </c>
      <c r="L27" s="2691">
        <v>1.24</v>
      </c>
      <c r="N27" s="2684">
        <f t="shared" si="30"/>
        <v>2.0000000000000001E-4</v>
      </c>
      <c r="O27" s="2685">
        <f t="shared" si="30"/>
        <v>1.1999999999999999E-3</v>
      </c>
      <c r="P27" s="2685">
        <f t="shared" si="30"/>
        <v>-8.0000000000000004E-4</v>
      </c>
      <c r="Q27" s="2685">
        <f t="shared" si="30"/>
        <v>1.24E-2</v>
      </c>
      <c r="R27" s="2686"/>
      <c r="S27" s="2684"/>
      <c r="T27" s="2685"/>
      <c r="U27" s="2685"/>
      <c r="V27" s="2685"/>
    </row>
    <row r="28" spans="1:34" ht="13.5" thickBot="1">
      <c r="A28" s="2675" t="s">
        <v>2588</v>
      </c>
      <c r="B28" s="2689">
        <f>B27/(1+N27)</f>
        <v>275.19025476197027</v>
      </c>
      <c r="C28" s="2721">
        <v>232</v>
      </c>
      <c r="D28" s="2721">
        <f t="shared" si="28"/>
        <v>232</v>
      </c>
      <c r="E28" s="2689">
        <f t="shared" si="39"/>
        <v>375.65990977608692</v>
      </c>
      <c r="F28" s="2689">
        <f t="shared" si="39"/>
        <v>214.12518283971252</v>
      </c>
      <c r="G28" s="3534"/>
      <c r="H28" s="2679">
        <v>1</v>
      </c>
      <c r="I28" s="2679">
        <v>0.02</v>
      </c>
      <c r="J28" s="2679">
        <v>0.13</v>
      </c>
      <c r="K28" s="2679">
        <v>-0.04</v>
      </c>
      <c r="L28" s="2690">
        <v>0.46</v>
      </c>
      <c r="N28" s="2684">
        <f t="shared" si="30"/>
        <v>2.0000000000000001E-4</v>
      </c>
      <c r="O28" s="2685">
        <f t="shared" si="30"/>
        <v>1.2999999999999999E-3</v>
      </c>
      <c r="P28" s="2685">
        <f t="shared" si="30"/>
        <v>-4.0000000000000002E-4</v>
      </c>
      <c r="Q28" s="2685">
        <f t="shared" si="30"/>
        <v>4.5999999999999999E-3</v>
      </c>
      <c r="R28" s="2686"/>
      <c r="S28" s="2692">
        <f>B28/B29-1</f>
        <v>6.9183549807361189E-4</v>
      </c>
      <c r="T28" s="2693">
        <f>C28/C29-1</f>
        <v>0</v>
      </c>
      <c r="U28" s="2693">
        <f>E28/E29-1</f>
        <v>-9.0449527636460303E-4</v>
      </c>
      <c r="V28" s="2693">
        <f>F28/F29-1</f>
        <v>5.2825485432512753E-3</v>
      </c>
      <c r="X28" s="2694"/>
      <c r="Y28" s="2694"/>
      <c r="Z28" s="2694"/>
    </row>
    <row r="29" spans="1:34" ht="13.5" thickBot="1">
      <c r="A29" s="2675" t="s">
        <v>2589</v>
      </c>
      <c r="B29" s="2681">
        <v>275</v>
      </c>
      <c r="C29" s="2681">
        <v>232</v>
      </c>
      <c r="D29" s="2681">
        <f t="shared" si="28"/>
        <v>232</v>
      </c>
      <c r="E29" s="2681">
        <v>376</v>
      </c>
      <c r="F29" s="2682">
        <v>213</v>
      </c>
      <c r="G29" s="3532">
        <v>2011</v>
      </c>
      <c r="H29" s="2695">
        <v>4</v>
      </c>
      <c r="I29" s="2695">
        <v>-0.2</v>
      </c>
      <c r="J29" s="2695">
        <v>0.04</v>
      </c>
      <c r="K29" s="2695">
        <v>-0.34</v>
      </c>
      <c r="L29" s="2696">
        <v>0.46</v>
      </c>
      <c r="N29" s="2697">
        <f t="shared" si="30"/>
        <v>-2E-3</v>
      </c>
      <c r="O29" s="2698">
        <f t="shared" si="30"/>
        <v>4.0000000000000002E-4</v>
      </c>
      <c r="P29" s="2698">
        <f t="shared" si="30"/>
        <v>-3.4000000000000002E-3</v>
      </c>
      <c r="Q29" s="2698">
        <f t="shared" si="30"/>
        <v>4.5999999999999999E-3</v>
      </c>
      <c r="R29" s="2686"/>
      <c r="S29" s="2687"/>
      <c r="T29" s="2688"/>
      <c r="U29" s="2688"/>
      <c r="V29" s="2688"/>
      <c r="X29" s="2688"/>
      <c r="Y29" s="2688"/>
      <c r="Z29" s="2688"/>
    </row>
    <row r="30" spans="1:34">
      <c r="A30" s="2675" t="s">
        <v>2590</v>
      </c>
      <c r="B30" s="2689">
        <f t="shared" ref="B30:C32" si="40">B29/(1+N29)</f>
        <v>275.55110220440883</v>
      </c>
      <c r="C30" s="2689">
        <f t="shared" si="40"/>
        <v>231.90723710515795</v>
      </c>
      <c r="D30" s="2689">
        <f t="shared" si="28"/>
        <v>231.90723710515795</v>
      </c>
      <c r="E30" s="2689">
        <f t="shared" ref="E30:F32" si="41">E29/(1+P29)</f>
        <v>377.28276138872161</v>
      </c>
      <c r="F30" s="2689">
        <f t="shared" si="41"/>
        <v>212.02468644236512</v>
      </c>
      <c r="G30" s="3533">
        <v>2011</v>
      </c>
      <c r="H30" s="2700">
        <v>3</v>
      </c>
      <c r="I30" s="2700">
        <v>0.13</v>
      </c>
      <c r="J30" s="2700">
        <v>0.75</v>
      </c>
      <c r="K30" s="2700">
        <v>-0.08</v>
      </c>
      <c r="L30" s="2701">
        <v>0.53</v>
      </c>
      <c r="N30" s="2684">
        <f t="shared" si="30"/>
        <v>1.2999999999999999E-3</v>
      </c>
      <c r="O30" s="2702">
        <f t="shared" si="30"/>
        <v>7.4999999999999997E-3</v>
      </c>
      <c r="P30" s="2702">
        <f t="shared" si="30"/>
        <v>-8.0000000000000004E-4</v>
      </c>
      <c r="Q30" s="2702">
        <f t="shared" si="30"/>
        <v>5.3E-3</v>
      </c>
      <c r="R30" s="2686"/>
      <c r="S30" s="2684"/>
      <c r="T30" s="2685"/>
      <c r="U30" s="2685"/>
      <c r="V30" s="2685"/>
    </row>
    <row r="31" spans="1:34">
      <c r="A31" s="2675" t="s">
        <v>2591</v>
      </c>
      <c r="B31" s="2689">
        <f t="shared" si="40"/>
        <v>275.19335084830601</v>
      </c>
      <c r="C31" s="2689">
        <f t="shared" si="40"/>
        <v>230.18088050139744</v>
      </c>
      <c r="D31" s="2689">
        <f t="shared" si="28"/>
        <v>230.18088050139744</v>
      </c>
      <c r="E31" s="2689">
        <f t="shared" si="41"/>
        <v>377.58482925212331</v>
      </c>
      <c r="F31" s="2689">
        <f t="shared" si="41"/>
        <v>210.90687997847917</v>
      </c>
      <c r="G31" s="3533">
        <v>2011</v>
      </c>
      <c r="H31" s="2680">
        <v>2</v>
      </c>
      <c r="I31" s="2680">
        <v>-0.4</v>
      </c>
      <c r="J31" s="2680">
        <v>0.17</v>
      </c>
      <c r="K31" s="2680">
        <v>-0.57999999999999996</v>
      </c>
      <c r="L31" s="2691">
        <v>-0.2</v>
      </c>
      <c r="N31" s="2684">
        <f t="shared" si="30"/>
        <v>-4.0000000000000001E-3</v>
      </c>
      <c r="O31" s="2702">
        <f t="shared" si="30"/>
        <v>1.7000000000000001E-3</v>
      </c>
      <c r="P31" s="2702">
        <f t="shared" si="30"/>
        <v>-5.7999999999999996E-3</v>
      </c>
      <c r="Q31" s="2702">
        <f t="shared" si="30"/>
        <v>-2E-3</v>
      </c>
      <c r="R31" s="2686"/>
      <c r="S31" s="2684"/>
      <c r="T31" s="2685"/>
      <c r="U31" s="2685"/>
      <c r="V31" s="2685"/>
    </row>
    <row r="32" spans="1:34" ht="13.5" thickBot="1">
      <c r="A32" s="2675" t="s">
        <v>2592</v>
      </c>
      <c r="B32" s="2689">
        <f t="shared" si="40"/>
        <v>276.29854502841971</v>
      </c>
      <c r="C32" s="2689">
        <f t="shared" si="40"/>
        <v>229.79023709833027</v>
      </c>
      <c r="D32" s="2689">
        <f t="shared" si="28"/>
        <v>229.79023709833027</v>
      </c>
      <c r="E32" s="2689">
        <f t="shared" si="41"/>
        <v>379.78759731655936</v>
      </c>
      <c r="F32" s="2689">
        <f t="shared" si="41"/>
        <v>211.32953905659235</v>
      </c>
      <c r="G32" s="3534">
        <v>2011</v>
      </c>
      <c r="H32" s="2679">
        <v>1</v>
      </c>
      <c r="I32" s="2679">
        <v>2.65</v>
      </c>
      <c r="J32" s="2679">
        <v>3.76</v>
      </c>
      <c r="K32" s="2679">
        <v>1.89</v>
      </c>
      <c r="L32" s="2690">
        <v>7.95</v>
      </c>
      <c r="N32" s="2692">
        <f t="shared" si="30"/>
        <v>2.6499999999999999E-2</v>
      </c>
      <c r="O32" s="2693">
        <f t="shared" si="30"/>
        <v>3.7599999999999995E-2</v>
      </c>
      <c r="P32" s="2693">
        <f t="shared" si="30"/>
        <v>1.89E-2</v>
      </c>
      <c r="Q32" s="2693">
        <f t="shared" si="30"/>
        <v>7.9500000000000001E-2</v>
      </c>
      <c r="R32" s="2686"/>
      <c r="S32" s="2692">
        <f>B32/B33-1</f>
        <v>2.713213765211786E-2</v>
      </c>
      <c r="T32" s="2693">
        <f>C32/C33-1</f>
        <v>3.9774828499231862E-2</v>
      </c>
      <c r="U32" s="2693">
        <f>E32/E33-1</f>
        <v>1.8197311840641772E-2</v>
      </c>
      <c r="V32" s="2693">
        <f>F32/F33-1</f>
        <v>7.8211933962205826E-2</v>
      </c>
      <c r="X32" s="2694"/>
      <c r="Y32" s="2694"/>
      <c r="Z32" s="2694"/>
    </row>
    <row r="33" spans="1:26" ht="13.5" thickBot="1">
      <c r="A33" s="2675" t="s">
        <v>2593</v>
      </c>
      <c r="B33" s="2681">
        <v>269</v>
      </c>
      <c r="C33" s="2681">
        <v>221</v>
      </c>
      <c r="D33" s="2681">
        <f t="shared" si="28"/>
        <v>221</v>
      </c>
      <c r="E33" s="2681">
        <v>373</v>
      </c>
      <c r="F33" s="2682">
        <v>196</v>
      </c>
      <c r="G33" s="3532">
        <v>2010</v>
      </c>
      <c r="H33" s="2695">
        <v>4</v>
      </c>
      <c r="I33" s="2695">
        <v>5.72</v>
      </c>
      <c r="J33" s="2695">
        <v>6.57</v>
      </c>
      <c r="K33" s="2695">
        <v>5.72</v>
      </c>
      <c r="L33" s="2696">
        <v>2.72</v>
      </c>
      <c r="N33" s="2684">
        <f t="shared" si="30"/>
        <v>5.7200000000000001E-2</v>
      </c>
      <c r="O33" s="2685">
        <f t="shared" si="30"/>
        <v>6.5700000000000008E-2</v>
      </c>
      <c r="P33" s="2685">
        <f t="shared" si="30"/>
        <v>5.7200000000000001E-2</v>
      </c>
      <c r="Q33" s="2685">
        <f t="shared" si="30"/>
        <v>2.7200000000000002E-2</v>
      </c>
      <c r="R33" s="2686"/>
      <c r="S33" s="2687"/>
      <c r="T33" s="2688"/>
      <c r="U33" s="2688"/>
      <c r="V33" s="2688"/>
      <c r="X33" s="2688"/>
      <c r="Y33" s="2688"/>
      <c r="Z33" s="2688"/>
    </row>
    <row r="34" spans="1:26">
      <c r="A34" s="2675" t="s">
        <v>2594</v>
      </c>
      <c r="B34" s="2689">
        <f t="shared" ref="B34:C36" si="42">B33/(1+N33)</f>
        <v>254.44570563753314</v>
      </c>
      <c r="C34" s="2689">
        <f t="shared" si="42"/>
        <v>207.37543398705074</v>
      </c>
      <c r="D34" s="2689">
        <f t="shared" si="28"/>
        <v>207.37543398705074</v>
      </c>
      <c r="E34" s="2689">
        <f t="shared" ref="E34:F36" si="43">E33/(1+P33)</f>
        <v>352.81876655315932</v>
      </c>
      <c r="F34" s="2689">
        <f t="shared" si="43"/>
        <v>190.809968847352</v>
      </c>
      <c r="G34" s="3533">
        <v>2010</v>
      </c>
      <c r="H34" s="2700">
        <v>3</v>
      </c>
      <c r="I34" s="2700">
        <v>4.7300000000000004</v>
      </c>
      <c r="J34" s="2700">
        <v>3.9</v>
      </c>
      <c r="K34" s="2700">
        <v>5.03</v>
      </c>
      <c r="L34" s="2701">
        <v>4.21</v>
      </c>
      <c r="N34" s="2684">
        <f t="shared" si="30"/>
        <v>4.7300000000000002E-2</v>
      </c>
      <c r="O34" s="2685">
        <f t="shared" si="30"/>
        <v>3.9E-2</v>
      </c>
      <c r="P34" s="2685">
        <f t="shared" si="30"/>
        <v>5.0300000000000004E-2</v>
      </c>
      <c r="Q34" s="2685">
        <f t="shared" si="30"/>
        <v>4.2099999999999999E-2</v>
      </c>
      <c r="R34" s="2686"/>
      <c r="S34" s="2684"/>
      <c r="T34" s="2685"/>
      <c r="U34" s="2685"/>
      <c r="V34" s="2685"/>
    </row>
    <row r="35" spans="1:26">
      <c r="A35" s="2675" t="s">
        <v>2595</v>
      </c>
      <c r="B35" s="2689">
        <f t="shared" si="42"/>
        <v>242.95398227588385</v>
      </c>
      <c r="C35" s="2689">
        <f t="shared" si="42"/>
        <v>199.59137053614126</v>
      </c>
      <c r="D35" s="2689">
        <f t="shared" si="28"/>
        <v>199.59137053614126</v>
      </c>
      <c r="E35" s="2689">
        <f t="shared" si="43"/>
        <v>335.92189522342125</v>
      </c>
      <c r="F35" s="2689">
        <f t="shared" si="43"/>
        <v>183.10139991109489</v>
      </c>
      <c r="G35" s="3533">
        <v>2010</v>
      </c>
      <c r="H35" s="2680">
        <v>2</v>
      </c>
      <c r="I35" s="2680">
        <v>4.6900000000000004</v>
      </c>
      <c r="J35" s="2680">
        <v>3.55</v>
      </c>
      <c r="K35" s="2680">
        <v>5.07</v>
      </c>
      <c r="L35" s="2691">
        <v>4.2300000000000004</v>
      </c>
      <c r="N35" s="2684">
        <f t="shared" si="30"/>
        <v>4.6900000000000004E-2</v>
      </c>
      <c r="O35" s="2685">
        <f t="shared" si="30"/>
        <v>3.5499999999999997E-2</v>
      </c>
      <c r="P35" s="2685">
        <f t="shared" si="30"/>
        <v>5.0700000000000002E-2</v>
      </c>
      <c r="Q35" s="2685">
        <f t="shared" si="30"/>
        <v>4.2300000000000004E-2</v>
      </c>
      <c r="R35" s="2686"/>
      <c r="S35" s="2684"/>
      <c r="T35" s="2685"/>
      <c r="U35" s="2685"/>
      <c r="V35" s="2685"/>
    </row>
    <row r="36" spans="1:26" ht="13.5" thickBot="1">
      <c r="A36" s="2675" t="s">
        <v>2596</v>
      </c>
      <c r="B36" s="2689">
        <f t="shared" si="42"/>
        <v>232.06990378821649</v>
      </c>
      <c r="C36" s="2689">
        <f t="shared" si="42"/>
        <v>192.74878854286936</v>
      </c>
      <c r="D36" s="2689">
        <f t="shared" si="28"/>
        <v>192.74878854286936</v>
      </c>
      <c r="E36" s="2689">
        <f t="shared" si="43"/>
        <v>319.71247284992984</v>
      </c>
      <c r="F36" s="2689">
        <f t="shared" si="43"/>
        <v>175.67053622862409</v>
      </c>
      <c r="G36" s="3534">
        <v>2010</v>
      </c>
      <c r="H36" s="2679">
        <v>1</v>
      </c>
      <c r="I36" s="2679">
        <v>5.4</v>
      </c>
      <c r="J36" s="2679">
        <v>3.2</v>
      </c>
      <c r="K36" s="2679">
        <v>6.16</v>
      </c>
      <c r="L36" s="2690">
        <v>4.51</v>
      </c>
      <c r="N36" s="2684">
        <f t="shared" si="30"/>
        <v>5.4000000000000006E-2</v>
      </c>
      <c r="O36" s="2685">
        <f t="shared" si="30"/>
        <v>3.2000000000000001E-2</v>
      </c>
      <c r="P36" s="2685">
        <f t="shared" si="30"/>
        <v>6.1600000000000002E-2</v>
      </c>
      <c r="Q36" s="2685">
        <f t="shared" si="30"/>
        <v>4.5100000000000001E-2</v>
      </c>
      <c r="R36" s="2686"/>
      <c r="S36" s="2692">
        <f>B36/B37-1</f>
        <v>5.4863199037347599E-2</v>
      </c>
      <c r="T36" s="2693">
        <f>C36/C37-1</f>
        <v>3.0742184721226584E-2</v>
      </c>
      <c r="U36" s="2693">
        <f>E36/E37-1</f>
        <v>6.2167683886810154E-2</v>
      </c>
      <c r="V36" s="2693">
        <f>F36/F37-1</f>
        <v>4.5657953741810031E-2</v>
      </c>
      <c r="X36" s="2694"/>
      <c r="Y36" s="2694"/>
      <c r="Z36" s="2694"/>
    </row>
    <row r="37" spans="1:26" ht="13.5" thickBot="1">
      <c r="A37" s="2675" t="s">
        <v>2597</v>
      </c>
      <c r="B37" s="2681">
        <v>220</v>
      </c>
      <c r="C37" s="2681">
        <v>187</v>
      </c>
      <c r="D37" s="2681">
        <f t="shared" si="28"/>
        <v>187</v>
      </c>
      <c r="E37" s="2681">
        <v>301</v>
      </c>
      <c r="F37" s="2682">
        <v>168</v>
      </c>
      <c r="G37" s="3532">
        <v>2009</v>
      </c>
      <c r="H37" s="2695">
        <v>4</v>
      </c>
      <c r="I37" s="2695">
        <v>2.2999999999999998</v>
      </c>
      <c r="J37" s="2695">
        <v>1.04</v>
      </c>
      <c r="K37" s="2695">
        <v>2.84</v>
      </c>
      <c r="L37" s="2696">
        <v>0.67</v>
      </c>
      <c r="N37" s="2697">
        <f t="shared" si="30"/>
        <v>2.3E-2</v>
      </c>
      <c r="O37" s="2698">
        <f t="shared" si="30"/>
        <v>1.04E-2</v>
      </c>
      <c r="P37" s="2698">
        <f t="shared" si="30"/>
        <v>2.8399999999999998E-2</v>
      </c>
      <c r="Q37" s="2698">
        <f t="shared" si="30"/>
        <v>6.7000000000000002E-3</v>
      </c>
      <c r="R37" s="2686"/>
      <c r="S37" s="2687"/>
      <c r="T37" s="2688"/>
      <c r="U37" s="2688"/>
      <c r="V37" s="2688"/>
      <c r="X37" s="2688"/>
      <c r="Y37" s="2688"/>
      <c r="Z37" s="2688"/>
    </row>
    <row r="38" spans="1:26">
      <c r="A38" s="2675" t="s">
        <v>2598</v>
      </c>
      <c r="B38" s="2689">
        <f t="shared" ref="B38:C40" si="44">B37/(1+N37)</f>
        <v>215.05376344086022</v>
      </c>
      <c r="C38" s="2689">
        <f t="shared" si="44"/>
        <v>185.0752177355503</v>
      </c>
      <c r="D38" s="2689">
        <f t="shared" si="28"/>
        <v>185.0752177355503</v>
      </c>
      <c r="E38" s="2689">
        <f t="shared" ref="E38:F40" si="45">E37/(1+P37)</f>
        <v>292.68767016725008</v>
      </c>
      <c r="F38" s="2689">
        <f t="shared" si="45"/>
        <v>166.88189132810174</v>
      </c>
      <c r="G38" s="3533">
        <v>2009</v>
      </c>
      <c r="H38" s="2700">
        <v>3</v>
      </c>
      <c r="I38" s="2700">
        <v>2.1</v>
      </c>
      <c r="J38" s="2700">
        <v>1.86</v>
      </c>
      <c r="K38" s="2700">
        <v>2.29</v>
      </c>
      <c r="L38" s="2701">
        <v>0.85</v>
      </c>
      <c r="N38" s="2684">
        <f t="shared" si="30"/>
        <v>2.1000000000000001E-2</v>
      </c>
      <c r="O38" s="2702">
        <f t="shared" si="30"/>
        <v>1.8600000000000002E-2</v>
      </c>
      <c r="P38" s="2702">
        <f t="shared" si="30"/>
        <v>2.29E-2</v>
      </c>
      <c r="Q38" s="2702">
        <f t="shared" si="30"/>
        <v>8.5000000000000006E-3</v>
      </c>
      <c r="R38" s="2686"/>
      <c r="S38" s="2684"/>
      <c r="T38" s="2685"/>
      <c r="U38" s="2685"/>
      <c r="V38" s="2685"/>
    </row>
    <row r="39" spans="1:26">
      <c r="A39" s="2675" t="s">
        <v>2599</v>
      </c>
      <c r="B39" s="2689">
        <f t="shared" si="44"/>
        <v>210.630522469011</v>
      </c>
      <c r="C39" s="2689">
        <f t="shared" si="44"/>
        <v>181.69567812247232</v>
      </c>
      <c r="D39" s="2689">
        <f t="shared" si="28"/>
        <v>181.69567812247232</v>
      </c>
      <c r="E39" s="2689">
        <f t="shared" si="45"/>
        <v>286.13517466736738</v>
      </c>
      <c r="F39" s="2689">
        <f t="shared" si="45"/>
        <v>165.47535084591149</v>
      </c>
      <c r="G39" s="3533">
        <v>2009</v>
      </c>
      <c r="H39" s="2680">
        <v>2</v>
      </c>
      <c r="I39" s="2680">
        <v>0.86</v>
      </c>
      <c r="J39" s="2680">
        <v>-1.1299999999999999</v>
      </c>
      <c r="K39" s="2680">
        <v>1.79</v>
      </c>
      <c r="L39" s="2691">
        <v>-2.0699999999999998</v>
      </c>
      <c r="N39" s="2684">
        <f t="shared" si="30"/>
        <v>8.6E-3</v>
      </c>
      <c r="O39" s="2702">
        <f t="shared" si="30"/>
        <v>-1.1299999999999999E-2</v>
      </c>
      <c r="P39" s="2702">
        <f t="shared" si="30"/>
        <v>1.7899999999999999E-2</v>
      </c>
      <c r="Q39" s="2702">
        <f t="shared" si="30"/>
        <v>-2.07E-2</v>
      </c>
      <c r="R39" s="2686"/>
      <c r="S39" s="2684"/>
      <c r="T39" s="2685"/>
      <c r="U39" s="2685"/>
      <c r="V39" s="2685"/>
    </row>
    <row r="40" spans="1:26">
      <c r="A40" s="2675" t="s">
        <v>2600</v>
      </c>
      <c r="B40" s="2689">
        <f t="shared" si="44"/>
        <v>208.83454537875372</v>
      </c>
      <c r="C40" s="2689">
        <f t="shared" si="44"/>
        <v>183.77230517090351</v>
      </c>
      <c r="D40" s="2689">
        <f t="shared" si="28"/>
        <v>183.77230517090351</v>
      </c>
      <c r="E40" s="2689">
        <f t="shared" si="45"/>
        <v>281.10342338870947</v>
      </c>
      <c r="F40" s="2689">
        <f t="shared" si="45"/>
        <v>168.97309388942256</v>
      </c>
      <c r="G40" s="3534">
        <v>2009</v>
      </c>
      <c r="H40" s="2679">
        <v>1</v>
      </c>
      <c r="I40" s="2679">
        <v>-2.64</v>
      </c>
      <c r="J40" s="2679">
        <v>-2.5299999999999998</v>
      </c>
      <c r="K40" s="2679">
        <v>-3.02</v>
      </c>
      <c r="L40" s="2690">
        <v>1.52</v>
      </c>
      <c r="N40" s="2692">
        <f t="shared" si="30"/>
        <v>-2.64E-2</v>
      </c>
      <c r="O40" s="2693">
        <f t="shared" si="30"/>
        <v>-2.53E-2</v>
      </c>
      <c r="P40" s="2693">
        <f t="shared" si="30"/>
        <v>-3.0200000000000001E-2</v>
      </c>
      <c r="Q40" s="2693">
        <f t="shared" si="30"/>
        <v>1.52E-2</v>
      </c>
      <c r="R40" s="2686"/>
      <c r="S40" s="2692">
        <f>B40/B41-1</f>
        <v>-2.4137638417038754E-2</v>
      </c>
      <c r="T40" s="2693">
        <f>C40/C41-1</f>
        <v>-2.248773845264096E-2</v>
      </c>
      <c r="U40" s="2693">
        <f>E40/E41-1</f>
        <v>-2.7323794502735366E-2</v>
      </c>
      <c r="V40" s="2693">
        <f>F40/F41-1</f>
        <v>1.7910204153148035E-2</v>
      </c>
      <c r="X40" s="2694"/>
      <c r="Y40" s="2694"/>
      <c r="Z40" s="2694"/>
    </row>
    <row r="41" spans="1:26" ht="13.5" thickBot="1">
      <c r="A41" s="2675" t="s">
        <v>2601</v>
      </c>
      <c r="B41" s="2719">
        <v>214</v>
      </c>
      <c r="C41" s="2719">
        <v>188</v>
      </c>
      <c r="D41" s="2719">
        <f t="shared" si="28"/>
        <v>188</v>
      </c>
      <c r="E41" s="2719">
        <v>289</v>
      </c>
      <c r="F41" s="2720">
        <v>166</v>
      </c>
      <c r="G41" s="3532">
        <v>2008</v>
      </c>
      <c r="H41" s="2695">
        <v>4</v>
      </c>
      <c r="I41" s="2695">
        <v>1.73</v>
      </c>
      <c r="J41" s="2695">
        <v>0.03</v>
      </c>
      <c r="K41" s="2695">
        <v>2.59</v>
      </c>
      <c r="L41" s="2696">
        <v>-1.66</v>
      </c>
      <c r="N41" s="2684">
        <f t="shared" si="30"/>
        <v>1.7299999999999999E-2</v>
      </c>
      <c r="O41" s="2685">
        <f t="shared" si="30"/>
        <v>2.9999999999999997E-4</v>
      </c>
      <c r="P41" s="2685">
        <f t="shared" si="30"/>
        <v>2.5899999999999999E-2</v>
      </c>
      <c r="Q41" s="2685">
        <f t="shared" si="30"/>
        <v>-1.66E-2</v>
      </c>
      <c r="R41" s="2686"/>
      <c r="S41" s="2687"/>
      <c r="T41" s="2688"/>
      <c r="U41" s="2688"/>
      <c r="V41" s="2688"/>
      <c r="X41" s="2688"/>
      <c r="Y41" s="2688"/>
      <c r="Z41" s="2688"/>
    </row>
    <row r="42" spans="1:26">
      <c r="A42" s="2675" t="s">
        <v>2602</v>
      </c>
      <c r="B42" s="2689">
        <f t="shared" ref="B42:C44" si="46">B41/(1+N41)</f>
        <v>210.36075887152265</v>
      </c>
      <c r="C42" s="2689">
        <f t="shared" si="46"/>
        <v>187.94361691492554</v>
      </c>
      <c r="D42" s="2689">
        <f t="shared" si="28"/>
        <v>187.94361691492554</v>
      </c>
      <c r="E42" s="2689">
        <f t="shared" ref="E42:F44" si="47">E41/(1+P41)</f>
        <v>281.70386977288234</v>
      </c>
      <c r="F42" s="2689">
        <f t="shared" si="47"/>
        <v>168.80211511083994</v>
      </c>
      <c r="G42" s="3533">
        <v>2008</v>
      </c>
      <c r="H42" s="2700">
        <v>3</v>
      </c>
      <c r="I42" s="2700">
        <v>1.96</v>
      </c>
      <c r="J42" s="2700">
        <v>2.36</v>
      </c>
      <c r="K42" s="2700">
        <v>1.82</v>
      </c>
      <c r="L42" s="2701">
        <v>2.2200000000000002</v>
      </c>
      <c r="N42" s="2684">
        <f t="shared" si="30"/>
        <v>1.9599999999999999E-2</v>
      </c>
      <c r="O42" s="2685">
        <f t="shared" si="30"/>
        <v>2.3599999999999999E-2</v>
      </c>
      <c r="P42" s="2685">
        <f t="shared" si="30"/>
        <v>1.8200000000000001E-2</v>
      </c>
      <c r="Q42" s="2685">
        <f t="shared" si="30"/>
        <v>2.2200000000000001E-2</v>
      </c>
      <c r="R42" s="2686"/>
      <c r="S42" s="2684"/>
      <c r="T42" s="2685"/>
      <c r="U42" s="2685"/>
      <c r="V42" s="2685"/>
    </row>
    <row r="43" spans="1:26">
      <c r="A43" s="2675" t="s">
        <v>2603</v>
      </c>
      <c r="B43" s="2689">
        <f t="shared" si="46"/>
        <v>206.31694671589116</v>
      </c>
      <c r="C43" s="2689">
        <f t="shared" si="46"/>
        <v>183.61041121036101</v>
      </c>
      <c r="D43" s="2689">
        <f t="shared" si="28"/>
        <v>183.61041121036101</v>
      </c>
      <c r="E43" s="2689">
        <f t="shared" si="47"/>
        <v>276.66850301795557</v>
      </c>
      <c r="F43" s="2689">
        <f t="shared" si="47"/>
        <v>165.1360938278614</v>
      </c>
      <c r="G43" s="3533">
        <v>2008</v>
      </c>
      <c r="H43" s="2680">
        <v>2</v>
      </c>
      <c r="I43" s="2680">
        <v>4.93</v>
      </c>
      <c r="J43" s="2680">
        <v>7.38</v>
      </c>
      <c r="K43" s="2680">
        <v>3.98</v>
      </c>
      <c r="L43" s="2691">
        <v>6.86</v>
      </c>
      <c r="N43" s="2684">
        <f t="shared" si="30"/>
        <v>4.9299999999999997E-2</v>
      </c>
      <c r="O43" s="2685">
        <f t="shared" si="30"/>
        <v>7.3800000000000004E-2</v>
      </c>
      <c r="P43" s="2685">
        <f t="shared" si="30"/>
        <v>3.9800000000000002E-2</v>
      </c>
      <c r="Q43" s="2685">
        <f t="shared" si="30"/>
        <v>6.8600000000000008E-2</v>
      </c>
      <c r="R43" s="2686"/>
      <c r="S43" s="2684"/>
      <c r="T43" s="2685"/>
      <c r="U43" s="2685"/>
      <c r="V43" s="2685"/>
    </row>
    <row r="44" spans="1:26" s="2725" customFormat="1" ht="13.5" thickBot="1">
      <c r="A44" s="2675" t="s">
        <v>2604</v>
      </c>
      <c r="B44" s="2722">
        <f t="shared" si="46"/>
        <v>196.62341248059772</v>
      </c>
      <c r="C44" s="2722">
        <f t="shared" si="46"/>
        <v>170.99125648199012</v>
      </c>
      <c r="D44" s="2722">
        <f t="shared" si="28"/>
        <v>170.99125648199012</v>
      </c>
      <c r="E44" s="2722">
        <f t="shared" si="47"/>
        <v>266.07857570490052</v>
      </c>
      <c r="F44" s="2722">
        <f t="shared" si="47"/>
        <v>154.53499328828505</v>
      </c>
      <c r="G44" s="3534">
        <v>2008</v>
      </c>
      <c r="H44" s="2723">
        <v>1</v>
      </c>
      <c r="I44" s="2723">
        <v>4.1399999999999997</v>
      </c>
      <c r="J44" s="2723">
        <v>3.45</v>
      </c>
      <c r="K44" s="2723">
        <v>4.95</v>
      </c>
      <c r="L44" s="2724">
        <v>4.82</v>
      </c>
      <c r="N44" s="2726">
        <f t="shared" si="30"/>
        <v>4.1399999999999999E-2</v>
      </c>
      <c r="O44" s="2727">
        <f t="shared" si="30"/>
        <v>3.4500000000000003E-2</v>
      </c>
      <c r="P44" s="2727">
        <f t="shared" si="30"/>
        <v>4.9500000000000002E-2</v>
      </c>
      <c r="Q44" s="2727">
        <f t="shared" si="30"/>
        <v>4.82E-2</v>
      </c>
      <c r="R44" s="2728"/>
      <c r="S44" s="2726">
        <f>B44/B45-1</f>
        <v>4.5869215322328349E-2</v>
      </c>
      <c r="T44" s="2727">
        <f>C44/C45-1</f>
        <v>3.6310645345394743E-2</v>
      </c>
      <c r="U44" s="2727">
        <f>E44/E45-1</f>
        <v>4.7553447657088688E-2</v>
      </c>
      <c r="V44" s="2727">
        <f>F44/F45-1</f>
        <v>4.4155360055980086E-2</v>
      </c>
      <c r="X44" s="2729"/>
      <c r="Y44" s="2729"/>
      <c r="Z44" s="2729"/>
    </row>
    <row r="45" spans="1:26" ht="13.5" thickBot="1">
      <c r="A45" s="2675" t="s">
        <v>2605</v>
      </c>
      <c r="B45" s="2681">
        <v>188</v>
      </c>
      <c r="C45" s="2681">
        <v>165</v>
      </c>
      <c r="D45" s="2681">
        <f t="shared" si="28"/>
        <v>165</v>
      </c>
      <c r="E45" s="2681">
        <v>254</v>
      </c>
      <c r="F45" s="2682">
        <v>148</v>
      </c>
      <c r="G45" s="3532">
        <v>2007</v>
      </c>
      <c r="H45" s="2730">
        <v>4</v>
      </c>
      <c r="I45" s="2730">
        <v>5.51</v>
      </c>
      <c r="J45" s="2730">
        <v>4.8899999999999997</v>
      </c>
      <c r="K45" s="2730">
        <v>6.43</v>
      </c>
      <c r="L45" s="2731">
        <v>5.36</v>
      </c>
      <c r="N45" s="2732">
        <f t="shared" ref="N45:O48" si="48">B45/B46-1</f>
        <v>4.1339718365245526E-2</v>
      </c>
      <c r="O45" s="2733">
        <f t="shared" si="48"/>
        <v>4.0324492593776018E-2</v>
      </c>
      <c r="P45" s="2733">
        <f t="shared" ref="P45:Q48" si="49">E45/E46-1</f>
        <v>6.1625555347990968E-2</v>
      </c>
      <c r="Q45" s="2733">
        <f t="shared" si="49"/>
        <v>4.6757569250590603E-2</v>
      </c>
      <c r="R45" s="2686"/>
      <c r="S45" s="2687"/>
      <c r="T45" s="2688"/>
      <c r="U45" s="2688"/>
      <c r="V45" s="2688"/>
      <c r="X45" s="2688"/>
      <c r="Y45" s="2688"/>
      <c r="Z45" s="2688"/>
    </row>
    <row r="46" spans="1:26">
      <c r="A46" s="2675" t="s">
        <v>2606</v>
      </c>
      <c r="B46" s="2689">
        <f t="shared" ref="B46:C48" si="50">B47+(B$45-B$49)*I46/SUM(I$45:I$48)</f>
        <v>180.5366651097618</v>
      </c>
      <c r="C46" s="2689">
        <f t="shared" si="50"/>
        <v>158.60435967302453</v>
      </c>
      <c r="D46" s="2689">
        <f t="shared" si="28"/>
        <v>158.60435967302453</v>
      </c>
      <c r="E46" s="2689">
        <f t="shared" ref="E46:F48" si="51">E47+(E$45-E$49)*K46/SUM(K$45:K$48)</f>
        <v>239.25573260785075</v>
      </c>
      <c r="F46" s="2689">
        <f t="shared" si="51"/>
        <v>141.38899430740037</v>
      </c>
      <c r="G46" s="3533">
        <v>2007</v>
      </c>
      <c r="H46" s="2700">
        <v>3</v>
      </c>
      <c r="I46" s="2700">
        <v>8.65</v>
      </c>
      <c r="J46" s="2700">
        <v>8.06</v>
      </c>
      <c r="K46" s="2700">
        <v>9.94</v>
      </c>
      <c r="L46" s="2701">
        <v>5.8</v>
      </c>
      <c r="N46" s="2732">
        <f t="shared" si="48"/>
        <v>6.940217571740015E-2</v>
      </c>
      <c r="O46" s="2733">
        <f t="shared" si="48"/>
        <v>7.1197482471153428E-2</v>
      </c>
      <c r="P46" s="2733">
        <f t="shared" si="49"/>
        <v>0.10529679922579582</v>
      </c>
      <c r="Q46" s="2733">
        <f t="shared" si="49"/>
        <v>5.3292245059512133E-2</v>
      </c>
      <c r="R46" s="2686"/>
      <c r="S46" s="2684"/>
      <c r="T46" s="2685"/>
      <c r="U46" s="2685"/>
      <c r="V46" s="2685"/>
      <c r="X46" s="2734"/>
      <c r="Y46" s="2734"/>
      <c r="Z46" s="2734"/>
    </row>
    <row r="47" spans="1:26">
      <c r="A47" s="2675" t="s">
        <v>2607</v>
      </c>
      <c r="B47" s="2689">
        <f t="shared" si="50"/>
        <v>168.82017748715555</v>
      </c>
      <c r="C47" s="2689">
        <f t="shared" si="50"/>
        <v>148.06267029972753</v>
      </c>
      <c r="D47" s="2689">
        <f t="shared" si="28"/>
        <v>148.06267029972753</v>
      </c>
      <c r="E47" s="2689">
        <f t="shared" si="51"/>
        <v>216.46288379323747</v>
      </c>
      <c r="F47" s="2689">
        <f t="shared" si="51"/>
        <v>134.23529411764704</v>
      </c>
      <c r="G47" s="3533">
        <v>2007</v>
      </c>
      <c r="H47" s="2680">
        <v>2</v>
      </c>
      <c r="I47" s="2680">
        <v>3.67</v>
      </c>
      <c r="J47" s="2680">
        <v>2.3199999999999998</v>
      </c>
      <c r="K47" s="2680">
        <v>5.0199999999999996</v>
      </c>
      <c r="L47" s="2691">
        <v>6.71</v>
      </c>
      <c r="N47" s="2732">
        <f t="shared" si="48"/>
        <v>3.0339138143848032E-2</v>
      </c>
      <c r="O47" s="2733">
        <f t="shared" si="48"/>
        <v>2.0922341588790472E-2</v>
      </c>
      <c r="P47" s="2733">
        <f t="shared" si="49"/>
        <v>5.6164796592717003E-2</v>
      </c>
      <c r="Q47" s="2733">
        <f t="shared" si="49"/>
        <v>6.5704536723887319E-2</v>
      </c>
      <c r="R47" s="2686"/>
      <c r="S47" s="2684"/>
      <c r="T47" s="2685"/>
      <c r="U47" s="2685"/>
      <c r="V47" s="2685"/>
      <c r="X47" s="2734"/>
      <c r="Y47" s="2734"/>
      <c r="Z47" s="2734"/>
    </row>
    <row r="48" spans="1:26">
      <c r="A48" s="2675" t="s">
        <v>2608</v>
      </c>
      <c r="B48" s="2689">
        <f t="shared" si="50"/>
        <v>163.84913591779542</v>
      </c>
      <c r="C48" s="2689">
        <f t="shared" si="50"/>
        <v>145.0283378746594</v>
      </c>
      <c r="D48" s="2689">
        <f t="shared" si="28"/>
        <v>145.0283378746594</v>
      </c>
      <c r="E48" s="2689">
        <f t="shared" si="51"/>
        <v>204.95180722891567</v>
      </c>
      <c r="F48" s="2689">
        <f t="shared" si="51"/>
        <v>125.95920303605313</v>
      </c>
      <c r="G48" s="3534">
        <v>2007</v>
      </c>
      <c r="H48" s="2679">
        <v>1</v>
      </c>
      <c r="I48" s="2679">
        <v>3.58</v>
      </c>
      <c r="J48" s="2679">
        <v>3.08</v>
      </c>
      <c r="K48" s="2679">
        <v>4.34</v>
      </c>
      <c r="L48" s="2690">
        <v>3.21</v>
      </c>
      <c r="N48" s="2735">
        <f t="shared" si="48"/>
        <v>3.0497710174814063E-2</v>
      </c>
      <c r="O48" s="2736">
        <f t="shared" si="48"/>
        <v>2.8569772160704998E-2</v>
      </c>
      <c r="P48" s="2736">
        <f t="shared" si="49"/>
        <v>5.1034908866234296E-2</v>
      </c>
      <c r="Q48" s="2736">
        <f t="shared" si="49"/>
        <v>3.245248390207478E-2</v>
      </c>
      <c r="R48" s="2686"/>
      <c r="S48" s="2692">
        <f>B48/B49-1</f>
        <v>3.0497710174814063E-2</v>
      </c>
      <c r="T48" s="2693">
        <f>C48/C49-1</f>
        <v>2.8569772160704998E-2</v>
      </c>
      <c r="U48" s="2693">
        <f>E48/E49-1</f>
        <v>5.1034908866234296E-2</v>
      </c>
      <c r="V48" s="2693">
        <f>F48/F49-1</f>
        <v>3.245248390207478E-2</v>
      </c>
      <c r="X48" s="2734"/>
      <c r="Y48" s="2734"/>
      <c r="Z48" s="2734"/>
    </row>
    <row r="49" spans="1:26" ht="13.5" thickBot="1">
      <c r="A49" s="2675" t="s">
        <v>2609</v>
      </c>
      <c r="B49" s="2703">
        <v>159</v>
      </c>
      <c r="C49" s="2703">
        <v>141</v>
      </c>
      <c r="D49" s="2703">
        <f t="shared" si="28"/>
        <v>141</v>
      </c>
      <c r="E49" s="2703">
        <v>195</v>
      </c>
      <c r="F49" s="2704">
        <v>122</v>
      </c>
      <c r="G49" s="3532">
        <v>2006</v>
      </c>
      <c r="H49" s="2695">
        <v>4</v>
      </c>
      <c r="I49" s="2695">
        <v>3.79</v>
      </c>
      <c r="J49" s="2695">
        <v>2.21</v>
      </c>
      <c r="K49" s="2695">
        <v>5.65</v>
      </c>
      <c r="L49" s="2696">
        <v>5.41</v>
      </c>
      <c r="N49" s="2732">
        <f t="shared" ref="N49:O52" si="52">I49/SUM(I$49:I$52)*(B$49/B$53-1)</f>
        <v>7.245466462748526E-2</v>
      </c>
      <c r="O49" s="2733">
        <f t="shared" si="52"/>
        <v>2.3237230038062766E-2</v>
      </c>
      <c r="P49" s="2733">
        <f t="shared" ref="P49:Q52" si="53">K49/SUM(K$49:K$52)*(E$49/E$53-1)</f>
        <v>0.16146893866323722</v>
      </c>
      <c r="Q49" s="2733">
        <f t="shared" si="53"/>
        <v>5.0755230321793784E-2</v>
      </c>
      <c r="R49" s="2686"/>
      <c r="S49" s="2687"/>
      <c r="T49" s="2688"/>
      <c r="U49" s="2688"/>
      <c r="V49" s="2688"/>
      <c r="X49" s="2734"/>
      <c r="Y49" s="2734"/>
      <c r="Z49" s="2734"/>
    </row>
    <row r="50" spans="1:26">
      <c r="A50" s="2675" t="s">
        <v>2610</v>
      </c>
      <c r="B50" s="2689">
        <f t="shared" ref="B50:C52" si="54">B51+(B$49-B$53)*I50/SUM(I$49:I$52)</f>
        <v>149.00125628140702</v>
      </c>
      <c r="C50" s="2689">
        <f t="shared" si="54"/>
        <v>137.95592286501378</v>
      </c>
      <c r="D50" s="2689">
        <f t="shared" si="28"/>
        <v>137.95592286501378</v>
      </c>
      <c r="E50" s="2689">
        <f t="shared" ref="E50:F52" si="55">E51+(E$49-E$53)*K50/SUM(K$49:K$52)</f>
        <v>169.97231450719823</v>
      </c>
      <c r="F50" s="2689">
        <f t="shared" si="55"/>
        <v>116.21390374331551</v>
      </c>
      <c r="G50" s="3533">
        <v>2006</v>
      </c>
      <c r="H50" s="2700">
        <v>3</v>
      </c>
      <c r="I50" s="2700">
        <v>0.92</v>
      </c>
      <c r="J50" s="2700">
        <v>1.08</v>
      </c>
      <c r="K50" s="2700">
        <v>0.73</v>
      </c>
      <c r="L50" s="2701">
        <v>1.08</v>
      </c>
      <c r="N50" s="2732">
        <f t="shared" si="52"/>
        <v>1.7587939698492462E-2</v>
      </c>
      <c r="O50" s="2733">
        <f t="shared" si="52"/>
        <v>1.1355750425840628E-2</v>
      </c>
      <c r="P50" s="2733">
        <f t="shared" si="53"/>
        <v>2.0862358446754544E-2</v>
      </c>
      <c r="Q50" s="2733">
        <f t="shared" si="53"/>
        <v>1.0132282578103011E-2</v>
      </c>
      <c r="R50" s="2686"/>
      <c r="S50" s="2684"/>
      <c r="T50" s="2685"/>
      <c r="U50" s="2685"/>
      <c r="V50" s="2685"/>
      <c r="X50" s="2734"/>
      <c r="Y50" s="2734"/>
      <c r="Z50" s="2734"/>
    </row>
    <row r="51" spans="1:26">
      <c r="A51" s="2675" t="s">
        <v>2611</v>
      </c>
      <c r="B51" s="2689">
        <f t="shared" si="54"/>
        <v>146.57412060301507</v>
      </c>
      <c r="C51" s="2689">
        <f t="shared" si="54"/>
        <v>136.46831955922866</v>
      </c>
      <c r="D51" s="2689">
        <f t="shared" si="28"/>
        <v>136.46831955922866</v>
      </c>
      <c r="E51" s="2689">
        <f t="shared" si="55"/>
        <v>166.73864894795128</v>
      </c>
      <c r="F51" s="2689">
        <f t="shared" si="55"/>
        <v>115.05882352941177</v>
      </c>
      <c r="G51" s="3533">
        <v>2006</v>
      </c>
      <c r="H51" s="2680">
        <v>2</v>
      </c>
      <c r="I51" s="2680">
        <v>0.96</v>
      </c>
      <c r="J51" s="2680">
        <v>0.25</v>
      </c>
      <c r="K51" s="2680">
        <v>1.9</v>
      </c>
      <c r="L51" s="2691">
        <v>0.95</v>
      </c>
      <c r="N51" s="2732">
        <f t="shared" si="52"/>
        <v>1.8352632728861701E-2</v>
      </c>
      <c r="O51" s="2733">
        <f t="shared" si="52"/>
        <v>2.6286459319075526E-3</v>
      </c>
      <c r="P51" s="2733">
        <f t="shared" si="53"/>
        <v>5.4299289107991269E-2</v>
      </c>
      <c r="Q51" s="2733">
        <f t="shared" si="53"/>
        <v>8.9126559714794995E-3</v>
      </c>
      <c r="R51" s="2686"/>
      <c r="S51" s="2684"/>
      <c r="T51" s="2685"/>
      <c r="U51" s="2685"/>
      <c r="V51" s="2685"/>
      <c r="X51" s="2734"/>
      <c r="Y51" s="2734"/>
      <c r="Z51" s="2734"/>
    </row>
    <row r="52" spans="1:26">
      <c r="A52" s="2675" t="s">
        <v>2612</v>
      </c>
      <c r="B52" s="2689">
        <f t="shared" si="54"/>
        <v>144.04145728643215</v>
      </c>
      <c r="C52" s="2689">
        <f t="shared" si="54"/>
        <v>136.12396694214877</v>
      </c>
      <c r="D52" s="2689">
        <f t="shared" si="28"/>
        <v>136.12396694214877</v>
      </c>
      <c r="E52" s="2689">
        <f t="shared" si="55"/>
        <v>158.32225913621264</v>
      </c>
      <c r="F52" s="2689">
        <f t="shared" si="55"/>
        <v>114.04278074866311</v>
      </c>
      <c r="G52" s="3534">
        <v>2006</v>
      </c>
      <c r="H52" s="2679">
        <v>1</v>
      </c>
      <c r="I52" s="2679">
        <v>2.29</v>
      </c>
      <c r="J52" s="2679">
        <v>3.72</v>
      </c>
      <c r="K52" s="2679">
        <v>0.75</v>
      </c>
      <c r="L52" s="2690">
        <v>0.04</v>
      </c>
      <c r="N52" s="2735">
        <f t="shared" si="52"/>
        <v>4.3778675988638847E-2</v>
      </c>
      <c r="O52" s="2736">
        <f t="shared" si="52"/>
        <v>3.9114251466784385E-2</v>
      </c>
      <c r="P52" s="2736">
        <f t="shared" si="53"/>
        <v>2.1433929911049188E-2</v>
      </c>
      <c r="Q52" s="2736">
        <f t="shared" si="53"/>
        <v>3.7526972511492629E-4</v>
      </c>
      <c r="R52" s="2686"/>
      <c r="S52" s="2692">
        <f>B52/B53-1</f>
        <v>4.3778675988638716E-2</v>
      </c>
      <c r="T52" s="2693">
        <f>C52/C53-1</f>
        <v>3.91142514667846E-2</v>
      </c>
      <c r="U52" s="2693">
        <f>E52/E53-1</f>
        <v>2.143392991104931E-2</v>
      </c>
      <c r="V52" s="2693">
        <f>F52/F53-1</f>
        <v>3.7526972511492396E-4</v>
      </c>
      <c r="X52" s="2734"/>
      <c r="Y52" s="2734"/>
      <c r="Z52" s="2734"/>
    </row>
    <row r="53" spans="1:26" ht="13.5" thickBot="1">
      <c r="A53" s="2675" t="s">
        <v>2613</v>
      </c>
      <c r="B53" s="2703">
        <v>138</v>
      </c>
      <c r="C53" s="2703">
        <v>131</v>
      </c>
      <c r="D53" s="2703">
        <f t="shared" si="28"/>
        <v>131</v>
      </c>
      <c r="E53" s="2703">
        <v>155</v>
      </c>
      <c r="F53" s="2704">
        <v>114</v>
      </c>
      <c r="G53" s="3532">
        <v>2005</v>
      </c>
      <c r="H53" s="2695">
        <v>4</v>
      </c>
      <c r="I53" s="2695">
        <v>3.29</v>
      </c>
      <c r="J53" s="2695">
        <v>1.44</v>
      </c>
      <c r="K53" s="2695">
        <v>0.66</v>
      </c>
      <c r="L53" s="2696">
        <v>7.78</v>
      </c>
      <c r="N53" s="2732">
        <f t="shared" ref="N53:O56" si="56">I53/SUM(I$53:I$56)*(B$53/B$57-1)</f>
        <v>9.9404603216919935E-2</v>
      </c>
      <c r="O53" s="2733">
        <f t="shared" si="56"/>
        <v>4.7636550760861554E-2</v>
      </c>
      <c r="P53" s="2733">
        <f t="shared" ref="P53:Q56" si="57">K53/SUM(K$53:K$56)*(E$53/E$57-1)</f>
        <v>8.3756345177664976E-2</v>
      </c>
      <c r="Q53" s="2733">
        <f t="shared" si="57"/>
        <v>5.2148766661559584E-2</v>
      </c>
      <c r="R53" s="2686"/>
      <c r="S53" s="2687"/>
      <c r="T53" s="2688"/>
      <c r="U53" s="2688"/>
      <c r="V53" s="2688"/>
      <c r="X53" s="2734"/>
      <c r="Y53" s="2734"/>
      <c r="Z53" s="2734"/>
    </row>
    <row r="54" spans="1:26">
      <c r="A54" s="2675" t="s">
        <v>2614</v>
      </c>
      <c r="B54" s="2689">
        <f t="shared" ref="B54:C56" si="58">B55+(B$53-B$57)*I54/SUM(I$53:I$56)</f>
        <v>125.9720430107527</v>
      </c>
      <c r="C54" s="2689">
        <f t="shared" si="58"/>
        <v>125.1883408071749</v>
      </c>
      <c r="D54" s="2689">
        <f t="shared" si="28"/>
        <v>125.1883408071749</v>
      </c>
      <c r="E54" s="2689">
        <f t="shared" ref="E54:F56" si="59">E55+(E$53-E$57)*K54/SUM(K$53:K$56)</f>
        <v>144.61421319796952</v>
      </c>
      <c r="F54" s="2689">
        <f t="shared" si="59"/>
        <v>108.42008196721311</v>
      </c>
      <c r="G54" s="3533">
        <v>2005</v>
      </c>
      <c r="H54" s="2700">
        <v>3</v>
      </c>
      <c r="I54" s="2700">
        <v>0.46</v>
      </c>
      <c r="J54" s="2700">
        <v>0.32</v>
      </c>
      <c r="K54" s="2700">
        <v>0.42</v>
      </c>
      <c r="L54" s="2701">
        <v>0.64</v>
      </c>
      <c r="N54" s="2732">
        <f t="shared" si="56"/>
        <v>1.3898515951301874E-2</v>
      </c>
      <c r="O54" s="2733">
        <f t="shared" si="56"/>
        <v>1.0585900169080346E-2</v>
      </c>
      <c r="P54" s="2733">
        <f t="shared" si="57"/>
        <v>5.3299492385786795E-2</v>
      </c>
      <c r="Q54" s="2733">
        <f t="shared" si="57"/>
        <v>4.2898728359123568E-3</v>
      </c>
      <c r="R54" s="2686"/>
      <c r="S54" s="2684"/>
      <c r="T54" s="2685"/>
      <c r="U54" s="2685"/>
      <c r="V54" s="2685"/>
      <c r="X54" s="2734"/>
      <c r="Y54" s="2734"/>
      <c r="Z54" s="2734"/>
    </row>
    <row r="55" spans="1:26">
      <c r="A55" s="2675" t="s">
        <v>2615</v>
      </c>
      <c r="B55" s="2689">
        <f t="shared" si="58"/>
        <v>124.29032258064517</v>
      </c>
      <c r="C55" s="2689">
        <f t="shared" si="58"/>
        <v>123.8968609865471</v>
      </c>
      <c r="D55" s="2689">
        <f t="shared" si="28"/>
        <v>123.8968609865471</v>
      </c>
      <c r="E55" s="2689">
        <f t="shared" si="59"/>
        <v>138.00507614213197</v>
      </c>
      <c r="F55" s="2689">
        <f t="shared" si="59"/>
        <v>107.96106557377048</v>
      </c>
      <c r="G55" s="3533">
        <v>2005</v>
      </c>
      <c r="H55" s="2680">
        <v>2</v>
      </c>
      <c r="I55" s="2680">
        <v>0.47</v>
      </c>
      <c r="J55" s="2680">
        <v>0.1</v>
      </c>
      <c r="K55" s="2680">
        <v>0.52</v>
      </c>
      <c r="L55" s="2691">
        <v>0.79</v>
      </c>
      <c r="N55" s="2732">
        <f t="shared" si="56"/>
        <v>1.420065760241713E-2</v>
      </c>
      <c r="O55" s="2733">
        <f t="shared" si="56"/>
        <v>3.3080938028376083E-3</v>
      </c>
      <c r="P55" s="2733">
        <f t="shared" si="57"/>
        <v>6.598984771573603E-2</v>
      </c>
      <c r="Q55" s="2733">
        <f t="shared" si="57"/>
        <v>5.2953117818293153E-3</v>
      </c>
      <c r="R55" s="2686"/>
      <c r="S55" s="2684"/>
      <c r="T55" s="2685"/>
      <c r="U55" s="2685"/>
      <c r="V55" s="2685"/>
      <c r="X55" s="2734"/>
      <c r="Y55" s="2734"/>
      <c r="Z55" s="2734"/>
    </row>
    <row r="56" spans="1:26">
      <c r="A56" s="2675" t="s">
        <v>2616</v>
      </c>
      <c r="B56" s="2689">
        <f t="shared" si="58"/>
        <v>122.57204301075269</v>
      </c>
      <c r="C56" s="2689">
        <f t="shared" si="58"/>
        <v>123.4932735426009</v>
      </c>
      <c r="D56" s="2689">
        <f t="shared" si="28"/>
        <v>123.4932735426009</v>
      </c>
      <c r="E56" s="2689">
        <f t="shared" si="59"/>
        <v>129.82233502538071</v>
      </c>
      <c r="F56" s="2689">
        <f t="shared" si="59"/>
        <v>107.39446721311475</v>
      </c>
      <c r="G56" s="3534">
        <v>2005</v>
      </c>
      <c r="H56" s="2679">
        <v>1</v>
      </c>
      <c r="I56" s="2679">
        <v>0.43</v>
      </c>
      <c r="J56" s="2679">
        <v>0.37</v>
      </c>
      <c r="K56" s="2679">
        <v>0.37</v>
      </c>
      <c r="L56" s="2690">
        <v>0.55000000000000004</v>
      </c>
      <c r="N56" s="2735">
        <f t="shared" si="56"/>
        <v>1.2992090997956099E-2</v>
      </c>
      <c r="O56" s="2736">
        <f t="shared" si="56"/>
        <v>1.2239947070499151E-2</v>
      </c>
      <c r="P56" s="2736">
        <f t="shared" si="57"/>
        <v>4.6954314720812178E-2</v>
      </c>
      <c r="Q56" s="2736">
        <f t="shared" si="57"/>
        <v>3.6866094683621815E-3</v>
      </c>
      <c r="R56" s="2686"/>
      <c r="S56" s="2692">
        <f>B56/B57-1</f>
        <v>1.2992090997956174E-2</v>
      </c>
      <c r="T56" s="2693">
        <f>C56/C57-1</f>
        <v>1.2239947070499246E-2</v>
      </c>
      <c r="U56" s="2693">
        <f>E56/E57-1</f>
        <v>4.695431472081224E-2</v>
      </c>
      <c r="V56" s="2693">
        <f>F56/F57-1</f>
        <v>3.6866094683620787E-3</v>
      </c>
      <c r="X56" s="2734"/>
      <c r="Y56" s="2734"/>
      <c r="Z56" s="2734"/>
    </row>
    <row r="57" spans="1:26" ht="13.5" thickBot="1">
      <c r="A57" s="2675" t="s">
        <v>2617</v>
      </c>
      <c r="B57" s="2719">
        <v>121</v>
      </c>
      <c r="C57" s="2719">
        <v>122</v>
      </c>
      <c r="D57" s="2719">
        <f t="shared" si="28"/>
        <v>122</v>
      </c>
      <c r="E57" s="2719">
        <v>124</v>
      </c>
      <c r="F57" s="2720">
        <v>107</v>
      </c>
      <c r="G57" s="3532">
        <v>2004</v>
      </c>
      <c r="H57" s="2695">
        <v>4</v>
      </c>
      <c r="I57" s="2695">
        <v>0.33</v>
      </c>
      <c r="J57" s="2695">
        <v>0.5</v>
      </c>
      <c r="K57" s="2695">
        <v>0.5</v>
      </c>
      <c r="L57" s="2696">
        <v>0</v>
      </c>
      <c r="N57" s="2732">
        <f t="shared" ref="N57:O60" si="60">I57/SUM(I$57:I$60)*(B$57/B$61-1)</f>
        <v>1.3391770148526898E-2</v>
      </c>
      <c r="O57" s="2733">
        <f t="shared" si="60"/>
        <v>1.063264221158958E-2</v>
      </c>
      <c r="P57" s="2733">
        <f t="shared" ref="P57:Q60" si="61">K57/SUM(K$57:K$60)*(E$57/E$61-1)</f>
        <v>2.2244466688911134E-2</v>
      </c>
      <c r="Q57" s="2733">
        <f t="shared" si="61"/>
        <v>0</v>
      </c>
      <c r="R57" s="2686"/>
      <c r="S57" s="2687"/>
      <c r="T57" s="2688"/>
      <c r="U57" s="2688"/>
      <c r="V57" s="2688"/>
      <c r="X57" s="2734"/>
      <c r="Y57" s="2734"/>
      <c r="Z57" s="2734"/>
    </row>
    <row r="58" spans="1:26">
      <c r="A58" s="2675" t="s">
        <v>2618</v>
      </c>
      <c r="B58" s="2689">
        <f t="shared" ref="B58:C60" si="62">B59+(B$57-B$61)*I58/SUM(I$57:I$60)</f>
        <v>119.51351351351352</v>
      </c>
      <c r="C58" s="2689">
        <f t="shared" si="62"/>
        <v>120.7878787878788</v>
      </c>
      <c r="D58" s="2689">
        <f t="shared" si="28"/>
        <v>120.7878787878788</v>
      </c>
      <c r="E58" s="2689">
        <f t="shared" ref="E58:F60" si="63">E59+(E$57-E$61)*K58/SUM(K$57:K$60)</f>
        <v>121.5975975975976</v>
      </c>
      <c r="F58" s="2689">
        <f t="shared" si="63"/>
        <v>107</v>
      </c>
      <c r="G58" s="3533">
        <v>2004</v>
      </c>
      <c r="H58" s="2700">
        <v>3</v>
      </c>
      <c r="I58" s="2700">
        <v>0.56000000000000005</v>
      </c>
      <c r="J58" s="2700">
        <v>0.8</v>
      </c>
      <c r="K58" s="2700">
        <v>0.83</v>
      </c>
      <c r="L58" s="2701">
        <v>0.06</v>
      </c>
      <c r="N58" s="2732">
        <f t="shared" si="60"/>
        <v>2.2725428130833527E-2</v>
      </c>
      <c r="O58" s="2733">
        <f t="shared" si="60"/>
        <v>1.7012227538543329E-2</v>
      </c>
      <c r="P58" s="2733">
        <f t="shared" si="61"/>
        <v>3.6925814703592477E-2</v>
      </c>
      <c r="Q58" s="2733">
        <f t="shared" si="61"/>
        <v>2.8846153846153744E-2</v>
      </c>
      <c r="R58" s="2686"/>
      <c r="S58" s="2684"/>
      <c r="T58" s="2685"/>
      <c r="U58" s="2685"/>
      <c r="V58" s="2685"/>
      <c r="X58" s="2734"/>
      <c r="Y58" s="2734"/>
      <c r="Z58" s="2734"/>
    </row>
    <row r="59" spans="1:26">
      <c r="A59" s="2675" t="s">
        <v>2619</v>
      </c>
      <c r="B59" s="2689">
        <f t="shared" si="62"/>
        <v>116.99099099099099</v>
      </c>
      <c r="C59" s="2689">
        <f t="shared" si="62"/>
        <v>118.84848484848486</v>
      </c>
      <c r="D59" s="2689">
        <f t="shared" si="28"/>
        <v>118.84848484848486</v>
      </c>
      <c r="E59" s="2689">
        <f t="shared" si="63"/>
        <v>117.60960960960961</v>
      </c>
      <c r="F59" s="2689">
        <f t="shared" si="63"/>
        <v>104</v>
      </c>
      <c r="G59" s="3533">
        <v>2004</v>
      </c>
      <c r="H59" s="2680">
        <v>2</v>
      </c>
      <c r="I59" s="2680">
        <v>1</v>
      </c>
      <c r="J59" s="2680">
        <v>1.5</v>
      </c>
      <c r="K59" s="2680">
        <v>1.5</v>
      </c>
      <c r="L59" s="2691">
        <v>0</v>
      </c>
      <c r="N59" s="2732">
        <f t="shared" si="60"/>
        <v>4.0581121662202721E-2</v>
      </c>
      <c r="O59" s="2733">
        <f t="shared" si="60"/>
        <v>3.1897926634768738E-2</v>
      </c>
      <c r="P59" s="2733">
        <f t="shared" si="61"/>
        <v>6.6733400066733395E-2</v>
      </c>
      <c r="Q59" s="2733">
        <f t="shared" si="61"/>
        <v>0</v>
      </c>
      <c r="R59" s="2686"/>
      <c r="S59" s="2684"/>
      <c r="T59" s="2685"/>
      <c r="U59" s="2685"/>
      <c r="V59" s="2685"/>
      <c r="X59" s="2734"/>
      <c r="Y59" s="2734"/>
      <c r="Z59" s="2734"/>
    </row>
    <row r="60" spans="1:26" s="2725" customFormat="1" ht="13.5" thickBot="1">
      <c r="A60" s="2675" t="s">
        <v>2620</v>
      </c>
      <c r="B60" s="2722">
        <f t="shared" si="62"/>
        <v>112.48648648648648</v>
      </c>
      <c r="C60" s="2722">
        <f t="shared" si="62"/>
        <v>115.21212121212122</v>
      </c>
      <c r="D60" s="2722">
        <f t="shared" si="28"/>
        <v>115.21212121212122</v>
      </c>
      <c r="E60" s="2722">
        <f t="shared" si="63"/>
        <v>110.4024024024024</v>
      </c>
      <c r="F60" s="2722">
        <f t="shared" si="63"/>
        <v>104</v>
      </c>
      <c r="G60" s="3534">
        <v>2004</v>
      </c>
      <c r="H60" s="2723">
        <v>1</v>
      </c>
      <c r="I60" s="2723">
        <v>0.33</v>
      </c>
      <c r="J60" s="2723">
        <v>0.5</v>
      </c>
      <c r="K60" s="2723">
        <v>0.5</v>
      </c>
      <c r="L60" s="2724">
        <v>0</v>
      </c>
      <c r="N60" s="2737">
        <f t="shared" si="60"/>
        <v>1.3391770148526898E-2</v>
      </c>
      <c r="O60" s="2738">
        <f t="shared" si="60"/>
        <v>1.063264221158958E-2</v>
      </c>
      <c r="P60" s="2738">
        <f t="shared" si="61"/>
        <v>2.2244466688911134E-2</v>
      </c>
      <c r="Q60" s="2738">
        <f t="shared" si="61"/>
        <v>0</v>
      </c>
      <c r="R60" s="2728"/>
      <c r="S60" s="2726">
        <f>B60/B61-1</f>
        <v>1.3391770148526883E-2</v>
      </c>
      <c r="T60" s="2727">
        <f>C60/C61-1</f>
        <v>1.063264221158966E-2</v>
      </c>
      <c r="U60" s="2727">
        <f>E60/E61-1</f>
        <v>2.2244466688911224E-2</v>
      </c>
      <c r="V60" s="2727">
        <f>F60/F61-1</f>
        <v>0</v>
      </c>
      <c r="X60" s="2739"/>
      <c r="Y60" s="2739"/>
      <c r="Z60" s="2739"/>
    </row>
    <row r="61" spans="1:26" ht="13.5" thickBot="1">
      <c r="A61" s="2675" t="s">
        <v>2621</v>
      </c>
      <c r="B61" s="2740">
        <v>111</v>
      </c>
      <c r="C61" s="2740">
        <v>114</v>
      </c>
      <c r="D61" s="2740">
        <f t="shared" si="28"/>
        <v>114</v>
      </c>
      <c r="E61" s="2740">
        <v>108</v>
      </c>
      <c r="F61" s="2741">
        <v>104</v>
      </c>
      <c r="G61" s="3532">
        <v>2003</v>
      </c>
      <c r="H61" s="2730">
        <v>4</v>
      </c>
      <c r="I61" s="2742"/>
      <c r="J61" s="2742"/>
      <c r="K61" s="2742"/>
      <c r="L61" s="2742"/>
      <c r="N61" s="2743"/>
      <c r="O61" s="2742"/>
      <c r="P61" s="2742"/>
      <c r="Q61" s="2742"/>
      <c r="S61" s="2743"/>
      <c r="T61" s="2742"/>
      <c r="U61" s="2742"/>
      <c r="V61" s="2742"/>
      <c r="X61" s="2734"/>
      <c r="Y61" s="2734"/>
      <c r="Z61" s="2734"/>
    </row>
    <row r="62" spans="1:26">
      <c r="A62" s="2675" t="s">
        <v>2622</v>
      </c>
      <c r="B62" s="2744">
        <f t="shared" ref="B62:C64" si="64">B63+(B$61-B$65)/4</f>
        <v>109.75</v>
      </c>
      <c r="C62" s="2744">
        <f t="shared" si="64"/>
        <v>112.25</v>
      </c>
      <c r="D62" s="2744">
        <f t="shared" si="28"/>
        <v>112.25</v>
      </c>
      <c r="E62" s="2744">
        <f t="shared" ref="E62:F64" si="65">E63+(E$61-E$65)/4</f>
        <v>107.25</v>
      </c>
      <c r="F62" s="2744">
        <f t="shared" si="65"/>
        <v>103.5</v>
      </c>
      <c r="G62" s="3533">
        <v>2003</v>
      </c>
      <c r="H62" s="2700">
        <v>3</v>
      </c>
      <c r="I62" s="2742"/>
      <c r="J62" s="2742"/>
      <c r="K62" s="2742"/>
      <c r="L62" s="2742"/>
      <c r="X62" s="2734"/>
      <c r="Y62" s="2734"/>
      <c r="Z62" s="2734"/>
    </row>
    <row r="63" spans="1:26">
      <c r="A63" s="2675" t="s">
        <v>2623</v>
      </c>
      <c r="B63" s="2744">
        <f t="shared" si="64"/>
        <v>108.5</v>
      </c>
      <c r="C63" s="2744">
        <f t="shared" si="64"/>
        <v>110.5</v>
      </c>
      <c r="D63" s="2744">
        <f t="shared" si="28"/>
        <v>110.5</v>
      </c>
      <c r="E63" s="2744">
        <f t="shared" si="65"/>
        <v>106.5</v>
      </c>
      <c r="F63" s="2744">
        <f t="shared" si="65"/>
        <v>103</v>
      </c>
      <c r="G63" s="3533">
        <v>2003</v>
      </c>
      <c r="H63" s="2680">
        <v>2</v>
      </c>
      <c r="I63" s="2742"/>
      <c r="J63" s="2742"/>
      <c r="K63" s="2742"/>
      <c r="L63" s="2742"/>
      <c r="X63" s="2734"/>
      <c r="Y63" s="2734"/>
      <c r="Z63" s="2734"/>
    </row>
    <row r="64" spans="1:26" ht="13.5" thickBot="1">
      <c r="A64" s="2675" t="s">
        <v>2624</v>
      </c>
      <c r="B64" s="2744">
        <f t="shared" si="64"/>
        <v>107.25</v>
      </c>
      <c r="C64" s="2744">
        <f t="shared" si="64"/>
        <v>108.75</v>
      </c>
      <c r="D64" s="2744">
        <f t="shared" si="28"/>
        <v>108.75</v>
      </c>
      <c r="E64" s="2744">
        <f t="shared" si="65"/>
        <v>105.75</v>
      </c>
      <c r="F64" s="2744">
        <f t="shared" si="65"/>
        <v>102.5</v>
      </c>
      <c r="G64" s="3534">
        <v>2003</v>
      </c>
      <c r="H64" s="2745">
        <v>1</v>
      </c>
      <c r="I64" s="2742"/>
      <c r="J64" s="2742"/>
      <c r="K64" s="2742"/>
      <c r="L64" s="2742"/>
      <c r="S64" s="2684"/>
      <c r="T64" s="2685"/>
      <c r="U64" s="2685"/>
      <c r="X64" s="2734"/>
      <c r="Y64" s="2734"/>
      <c r="Z64" s="2734"/>
    </row>
    <row r="65" spans="1:26" ht="13.5" thickBot="1">
      <c r="A65" s="2675" t="s">
        <v>2625</v>
      </c>
      <c r="B65" s="2746">
        <v>106</v>
      </c>
      <c r="C65" s="2746">
        <v>107</v>
      </c>
      <c r="D65" s="2746">
        <f t="shared" si="28"/>
        <v>107</v>
      </c>
      <c r="E65" s="2746">
        <v>105</v>
      </c>
      <c r="F65" s="2747">
        <v>102</v>
      </c>
      <c r="G65" s="3532">
        <v>2002</v>
      </c>
      <c r="H65" s="2695">
        <v>4</v>
      </c>
      <c r="I65" s="2742"/>
      <c r="J65" s="2742"/>
      <c r="K65" s="2742"/>
      <c r="L65" s="2742"/>
      <c r="N65" s="2743"/>
      <c r="O65" s="2742"/>
      <c r="P65" s="2742"/>
      <c r="Q65" s="2742"/>
      <c r="S65" s="2743"/>
      <c r="T65" s="2742"/>
      <c r="U65" s="2742"/>
      <c r="V65" s="2742"/>
      <c r="X65" s="2734"/>
      <c r="Y65" s="2734"/>
      <c r="Z65" s="2734"/>
    </row>
    <row r="66" spans="1:26">
      <c r="A66" s="2675" t="s">
        <v>2626</v>
      </c>
      <c r="B66" s="2744">
        <f t="shared" ref="B66:C68" si="66">B67+(B$65-B$69)/4</f>
        <v>105</v>
      </c>
      <c r="C66" s="2744">
        <f t="shared" si="66"/>
        <v>106</v>
      </c>
      <c r="D66" s="2744">
        <f t="shared" si="28"/>
        <v>106</v>
      </c>
      <c r="E66" s="2744">
        <f t="shared" ref="E66:F68" si="67">E67+(E$65-E$69)/4</f>
        <v>104.5</v>
      </c>
      <c r="F66" s="2744">
        <f t="shared" si="67"/>
        <v>101.5</v>
      </c>
      <c r="G66" s="3533">
        <v>2002</v>
      </c>
      <c r="H66" s="2700">
        <v>3</v>
      </c>
      <c r="I66" s="2742"/>
      <c r="J66" s="2742"/>
      <c r="K66" s="2742"/>
      <c r="L66" s="2742"/>
      <c r="X66" s="2734"/>
      <c r="Y66" s="2734"/>
      <c r="Z66" s="2734"/>
    </row>
    <row r="67" spans="1:26">
      <c r="A67" s="2675" t="s">
        <v>2627</v>
      </c>
      <c r="B67" s="2744">
        <f t="shared" si="66"/>
        <v>104</v>
      </c>
      <c r="C67" s="2744">
        <f t="shared" si="66"/>
        <v>105</v>
      </c>
      <c r="D67" s="2744">
        <f t="shared" si="28"/>
        <v>105</v>
      </c>
      <c r="E67" s="2744">
        <f t="shared" si="67"/>
        <v>104</v>
      </c>
      <c r="F67" s="2744">
        <f t="shared" si="67"/>
        <v>101</v>
      </c>
      <c r="G67" s="3533">
        <v>2002</v>
      </c>
      <c r="H67" s="2680">
        <v>2</v>
      </c>
      <c r="I67" s="2742"/>
      <c r="J67" s="2742"/>
      <c r="K67" s="2742"/>
      <c r="L67" s="2742"/>
      <c r="X67" s="2734"/>
      <c r="Y67" s="2734"/>
      <c r="Z67" s="2734"/>
    </row>
    <row r="68" spans="1:26" s="2711" customFormat="1" ht="13.5" thickBot="1">
      <c r="A68" s="2707" t="s">
        <v>2628</v>
      </c>
      <c r="B68" s="2748">
        <f t="shared" si="66"/>
        <v>103</v>
      </c>
      <c r="C68" s="2748">
        <f t="shared" si="66"/>
        <v>104</v>
      </c>
      <c r="D68" s="2748">
        <f t="shared" si="28"/>
        <v>104</v>
      </c>
      <c r="E68" s="2748">
        <f t="shared" si="67"/>
        <v>103.5</v>
      </c>
      <c r="F68" s="2748">
        <f t="shared" si="67"/>
        <v>100.5</v>
      </c>
      <c r="G68" s="3534">
        <v>2002</v>
      </c>
      <c r="H68" s="2749">
        <v>1</v>
      </c>
      <c r="I68" s="2750"/>
      <c r="J68" s="2750"/>
      <c r="K68" s="2750"/>
      <c r="L68" s="2750"/>
      <c r="N68" s="2751"/>
      <c r="S68" s="2751"/>
      <c r="X68" s="2752"/>
      <c r="Y68" s="2752"/>
      <c r="Z68" s="2752"/>
    </row>
    <row r="69" spans="1:26" ht="13.5" thickBot="1">
      <c r="B69" s="2753">
        <v>102</v>
      </c>
      <c r="C69" s="2754">
        <v>103</v>
      </c>
      <c r="D69" s="2754">
        <f t="shared" si="28"/>
        <v>103</v>
      </c>
      <c r="E69" s="2754">
        <v>103</v>
      </c>
      <c r="F69" s="2755">
        <v>100</v>
      </c>
      <c r="I69" s="2742"/>
      <c r="J69" s="2742"/>
      <c r="K69" s="2742"/>
      <c r="L69" s="2742"/>
      <c r="N69" s="2743"/>
      <c r="O69" s="2742"/>
      <c r="P69" s="2742"/>
      <c r="Q69" s="2742"/>
      <c r="S69" s="2743"/>
      <c r="T69" s="2742"/>
      <c r="U69" s="2742"/>
      <c r="V69" s="2742"/>
      <c r="X69" s="2688"/>
      <c r="Y69" s="2688"/>
      <c r="Z69" s="2688"/>
    </row>
    <row r="71" spans="1:26" s="2757" customFormat="1">
      <c r="A71" s="2756" t="s">
        <v>2629</v>
      </c>
      <c r="G71" s="2758"/>
      <c r="N71" s="2758"/>
      <c r="S71" s="2758"/>
    </row>
    <row r="72" spans="1:26" s="2757" customFormat="1">
      <c r="A72" s="2757" t="s">
        <v>2630</v>
      </c>
      <c r="G72" s="2758"/>
      <c r="N72" s="2758"/>
      <c r="S72" s="2758"/>
    </row>
    <row r="73" spans="1:26" s="2757" customFormat="1">
      <c r="A73" s="2757" t="s">
        <v>2631</v>
      </c>
      <c r="G73" s="2758"/>
      <c r="I73" s="2759"/>
      <c r="J73" s="2759"/>
      <c r="K73" s="2759"/>
      <c r="L73" s="2759"/>
      <c r="N73" s="2760"/>
      <c r="O73" s="2759"/>
      <c r="P73" s="2759"/>
      <c r="Q73" s="2759"/>
      <c r="S73" s="2760"/>
      <c r="T73" s="2759"/>
      <c r="U73" s="2759"/>
      <c r="V73" s="2759"/>
    </row>
    <row r="74" spans="1:26" s="2757" customFormat="1">
      <c r="A74" s="2757" t="s">
        <v>2632</v>
      </c>
      <c r="G74" s="2758"/>
      <c r="N74" s="2758"/>
      <c r="S74" s="2758"/>
    </row>
    <row r="81" spans="7:22" ht="13.5" thickBot="1"/>
    <row r="82" spans="7:22">
      <c r="G82" s="2683"/>
      <c r="S82" s="2761" t="s">
        <v>2633</v>
      </c>
      <c r="T82" s="2762" t="s">
        <v>2634</v>
      </c>
      <c r="U82" s="2762" t="s">
        <v>2635</v>
      </c>
      <c r="V82" s="2762" t="s">
        <v>2636</v>
      </c>
    </row>
    <row r="83" spans="7:22">
      <c r="G83" s="2683"/>
      <c r="N83" s="2687"/>
      <c r="O83" s="2688"/>
      <c r="P83" s="2688"/>
      <c r="Q83" s="2688"/>
      <c r="S83" s="2763">
        <v>2006</v>
      </c>
      <c r="T83" s="2764">
        <v>15.1</v>
      </c>
      <c r="U83" s="2764">
        <v>7.43</v>
      </c>
      <c r="V83" s="2764">
        <v>26.26</v>
      </c>
    </row>
    <row r="84" spans="7:22">
      <c r="G84" s="2683"/>
      <c r="N84" s="2687"/>
      <c r="O84" s="2688"/>
      <c r="P84" s="2688"/>
      <c r="Q84" s="2688"/>
      <c r="S84" s="2766">
        <v>2005</v>
      </c>
      <c r="T84" s="2765">
        <v>13.9</v>
      </c>
      <c r="U84" s="2765">
        <v>7.49</v>
      </c>
      <c r="V84" s="2765">
        <v>24.92</v>
      </c>
    </row>
    <row r="85" spans="7:22">
      <c r="G85" s="2683"/>
      <c r="N85" s="2687"/>
      <c r="O85" s="2688"/>
      <c r="P85" s="2688"/>
      <c r="Q85" s="2688"/>
      <c r="S85" s="2763">
        <v>2004</v>
      </c>
      <c r="T85" s="2764">
        <v>9.48</v>
      </c>
      <c r="U85" s="2764">
        <v>7.2</v>
      </c>
      <c r="V85" s="2764">
        <v>14.68</v>
      </c>
    </row>
    <row r="86" spans="7:22">
      <c r="G86" s="2683"/>
      <c r="N86" s="2687"/>
      <c r="O86" s="2688"/>
      <c r="P86" s="2688"/>
      <c r="Q86" s="2688"/>
      <c r="S86" s="2766">
        <v>2003</v>
      </c>
      <c r="T86" s="2765">
        <v>4.5</v>
      </c>
      <c r="U86" s="2765">
        <v>6.12</v>
      </c>
      <c r="V86" s="2765">
        <v>2.34</v>
      </c>
    </row>
    <row r="87" spans="7:22" ht="13.5" thickBot="1">
      <c r="G87" s="2683"/>
      <c r="N87" s="2687"/>
      <c r="O87" s="2688"/>
      <c r="P87" s="2688"/>
      <c r="Q87" s="2688"/>
      <c r="S87" s="2767">
        <v>2002</v>
      </c>
      <c r="T87" s="2768">
        <v>3.59</v>
      </c>
      <c r="U87" s="2768">
        <v>4.54</v>
      </c>
      <c r="V87" s="2768">
        <v>2.5499999999999998</v>
      </c>
    </row>
    <row r="88" spans="7:22">
      <c r="G88" s="2683"/>
      <c r="N88" s="2687"/>
      <c r="O88" s="2688"/>
      <c r="P88" s="2688"/>
      <c r="Q88" s="2688"/>
    </row>
    <row r="89" spans="7:22">
      <c r="G89" s="2683"/>
      <c r="N89" s="2687"/>
      <c r="O89" s="2688"/>
      <c r="P89" s="2688"/>
      <c r="Q89" s="2688"/>
    </row>
    <row r="90" spans="7:22">
      <c r="G90" s="2683"/>
      <c r="N90" s="2687"/>
      <c r="O90" s="2688"/>
      <c r="P90" s="2688"/>
      <c r="Q90" s="2688"/>
    </row>
    <row r="91" spans="7:22">
      <c r="G91" s="2683"/>
      <c r="N91" s="2687"/>
      <c r="O91" s="2688"/>
      <c r="P91" s="2688"/>
      <c r="Q91" s="2688"/>
    </row>
    <row r="92" spans="7:22">
      <c r="G92" s="2683"/>
      <c r="N92" s="2687"/>
      <c r="O92" s="2688"/>
      <c r="P92" s="2688"/>
      <c r="Q92" s="2688"/>
    </row>
    <row r="93" spans="7:22">
      <c r="G93" s="2683"/>
      <c r="N93" s="2687"/>
      <c r="O93" s="2688"/>
      <c r="P93" s="2688"/>
      <c r="Q93" s="2688"/>
    </row>
    <row r="94" spans="7:22">
      <c r="G94" s="2683"/>
      <c r="N94" s="2687"/>
      <c r="O94" s="2688"/>
      <c r="P94" s="2688"/>
      <c r="Q94" s="2688"/>
    </row>
    <row r="95" spans="7:22">
      <c r="G95" s="2683"/>
      <c r="N95" s="2687"/>
      <c r="O95" s="2688"/>
      <c r="P95" s="2688"/>
      <c r="Q95" s="2688"/>
    </row>
    <row r="96" spans="7:22">
      <c r="G96" s="2683"/>
      <c r="N96" s="2687"/>
      <c r="O96" s="2688"/>
      <c r="P96" s="2688"/>
      <c r="Q96" s="2688"/>
    </row>
    <row r="97" spans="7:19">
      <c r="G97" s="2683"/>
      <c r="N97" s="2687"/>
      <c r="O97" s="2688"/>
      <c r="P97" s="2688"/>
      <c r="Q97" s="2688"/>
    </row>
    <row r="98" spans="7:19">
      <c r="G98" s="2683"/>
      <c r="N98" s="2687"/>
      <c r="O98" s="2688"/>
      <c r="P98" s="2688"/>
      <c r="Q98" s="2688"/>
      <c r="S98" s="2683"/>
    </row>
    <row r="99" spans="7:19">
      <c r="G99" s="2683"/>
      <c r="N99" s="2687"/>
      <c r="O99" s="2688"/>
      <c r="P99" s="2688"/>
      <c r="Q99" s="2688"/>
      <c r="S99" s="2683"/>
    </row>
    <row r="100" spans="7:19">
      <c r="G100" s="2683"/>
      <c r="N100" s="2687"/>
      <c r="O100" s="2688"/>
      <c r="P100" s="2688"/>
      <c r="Q100" s="2688"/>
      <c r="S100" s="2683"/>
    </row>
    <row r="101" spans="7:19">
      <c r="G101" s="2683"/>
      <c r="N101" s="2687"/>
      <c r="O101" s="2688"/>
      <c r="P101" s="2688"/>
      <c r="Q101" s="2688"/>
      <c r="S101" s="2683"/>
    </row>
    <row r="102" spans="7:19">
      <c r="G102" s="2683"/>
      <c r="N102" s="2687"/>
      <c r="O102" s="2688"/>
      <c r="P102" s="2688"/>
      <c r="Q102" s="2688"/>
      <c r="S102" s="2683"/>
    </row>
    <row r="103" spans="7:19">
      <c r="G103" s="2683"/>
      <c r="N103" s="2687"/>
      <c r="O103" s="2688"/>
      <c r="P103" s="2688"/>
      <c r="Q103" s="2688"/>
      <c r="S103" s="2683"/>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topLeftCell="A7" workbookViewId="0">
      <selection activeCell="D15" sqref="D15"/>
    </sheetView>
  </sheetViews>
  <sheetFormatPr defaultColWidth="6.625" defaultRowHeight="12.75"/>
  <cols>
    <col min="1" max="1" width="9.75" style="2119" customWidth="1"/>
    <col min="2" max="2" width="25.75" style="2109" customWidth="1"/>
    <col min="3" max="3" width="10.375" style="2120" customWidth="1"/>
    <col min="4" max="4" width="12" style="2109" customWidth="1"/>
    <col min="5" max="5" width="9.5" style="2119" customWidth="1"/>
    <col min="6" max="6" width="10.125" style="2109" customWidth="1"/>
    <col min="7" max="7" width="11.625" style="2109" customWidth="1"/>
    <col min="8" max="8" width="10" style="2109" customWidth="1"/>
    <col min="9" max="11" width="9.5" style="2109" customWidth="1"/>
    <col min="12" max="12" width="9" style="2109" customWidth="1"/>
    <col min="13" max="13" width="10.5" style="2109" bestFit="1" customWidth="1"/>
    <col min="14" max="254" width="9" style="2109" customWidth="1"/>
    <col min="255" max="16384" width="6.625" style="2109"/>
  </cols>
  <sheetData>
    <row r="1" spans="1:31" s="2036" customFormat="1" ht="20.25">
      <c r="A1" s="2098" t="s">
        <v>459</v>
      </c>
      <c r="B1" s="2830"/>
      <c r="C1" s="2099"/>
      <c r="D1" s="2099"/>
      <c r="E1" s="2099"/>
      <c r="F1" s="2099"/>
      <c r="G1" s="2099"/>
      <c r="H1" s="2099"/>
      <c r="I1" s="2099"/>
      <c r="J1" s="2099"/>
      <c r="K1" s="420">
        <f>MATCH(B1,'数据-取费表'!A6:A16,0)+5</f>
        <v>11</v>
      </c>
    </row>
    <row r="2" spans="1:31" s="2036" customFormat="1" ht="18" customHeight="1">
      <c r="A2" s="2096" t="s">
        <v>460</v>
      </c>
      <c r="B2" s="2100">
        <f ca="1">C36</f>
        <v>-147490</v>
      </c>
      <c r="C2" s="2099"/>
      <c r="D2" s="2099"/>
      <c r="E2" s="2099"/>
      <c r="F2" s="2099"/>
      <c r="G2" s="2099"/>
      <c r="H2" s="2099"/>
      <c r="I2" s="2099"/>
      <c r="J2" s="2099"/>
      <c r="K2" s="2099"/>
    </row>
    <row r="3" spans="1:31" s="2036" customFormat="1" ht="18" customHeight="1">
      <c r="A3" s="2101" t="s">
        <v>1678</v>
      </c>
      <c r="B3" s="2102">
        <f ca="1">ROUND(B2*10000/IF(B1="",'数据-汇总表'!E3,INDIRECT("'数据-取费表'!K"&amp;$K$1)),0)</f>
        <v>-3573</v>
      </c>
      <c r="C3" s="2099"/>
      <c r="D3" s="2099"/>
      <c r="E3" s="2099"/>
      <c r="F3" s="2099"/>
      <c r="G3" s="2099"/>
      <c r="H3" s="2099"/>
      <c r="I3" s="2099"/>
      <c r="J3" s="2099"/>
      <c r="K3" s="2099"/>
    </row>
    <row r="4" spans="1:31" s="2036" customFormat="1" ht="18" customHeight="1">
      <c r="A4" s="424" t="s">
        <v>461</v>
      </c>
      <c r="B4" s="425">
        <f ca="1">ROUND(B2*10000/IF(B1="",'数据-汇总表'!D3,INDIRECT("'数据-取费表'!R"&amp;$K$1)),0)</f>
        <v>-12158</v>
      </c>
      <c r="C4" s="426"/>
      <c r="D4" s="420"/>
      <c r="E4" s="420"/>
      <c r="F4" s="420"/>
      <c r="G4" s="420"/>
      <c r="H4" s="420"/>
      <c r="I4" s="420"/>
      <c r="J4" s="420"/>
      <c r="K4" s="420"/>
    </row>
    <row r="5" spans="1:31" s="2036" customFormat="1" ht="18" customHeight="1" thickBot="1">
      <c r="A5" s="427"/>
      <c r="B5" s="428">
        <f ca="1">ROUND(B2/(IF(B1="",'数据-汇总表'!D3,INDIRECT("'数据-取费表'!R"&amp;$K$1))/666.67),0)</f>
        <v>-811</v>
      </c>
      <c r="C5" s="429" t="s">
        <v>462</v>
      </c>
      <c r="D5" s="420"/>
      <c r="E5" s="420"/>
      <c r="F5" s="420"/>
      <c r="G5" s="420"/>
      <c r="H5" s="420"/>
      <c r="I5" s="420"/>
      <c r="J5" s="420"/>
      <c r="K5" s="420"/>
    </row>
    <row r="6" spans="1:31" s="2106" customFormat="1" ht="16.5" customHeight="1">
      <c r="A6" s="2849" t="s">
        <v>1836</v>
      </c>
      <c r="B6" s="2850"/>
      <c r="C6" s="2851">
        <f>SUM(C10:K10)</f>
        <v>0</v>
      </c>
      <c r="D6" s="2850"/>
      <c r="E6" s="2850"/>
      <c r="F6" s="2850"/>
      <c r="G6" s="2850"/>
      <c r="H6" s="2850"/>
      <c r="I6" s="2850"/>
      <c r="J6" s="2850"/>
      <c r="K6" s="2852"/>
    </row>
    <row r="7" spans="1:31" s="2108" customFormat="1" ht="15">
      <c r="A7" s="2853" t="s">
        <v>463</v>
      </c>
      <c r="B7" s="2854" t="s">
        <v>464</v>
      </c>
      <c r="C7" s="434" t="s">
        <v>3001</v>
      </c>
      <c r="D7" s="434" t="s">
        <v>3002</v>
      </c>
      <c r="E7" s="434" t="s">
        <v>3003</v>
      </c>
      <c r="F7" s="434" t="s">
        <v>3004</v>
      </c>
      <c r="G7" s="434"/>
      <c r="H7" s="434"/>
      <c r="I7" s="434"/>
      <c r="J7" s="434"/>
      <c r="K7" s="435"/>
      <c r="L7" s="2107"/>
      <c r="M7" s="2107"/>
      <c r="N7" s="2107"/>
      <c r="O7" s="2107"/>
      <c r="P7" s="2107"/>
      <c r="Q7" s="2107"/>
      <c r="R7" s="2107"/>
      <c r="S7" s="2107"/>
      <c r="T7" s="2107"/>
      <c r="U7" s="2107"/>
      <c r="V7" s="2107"/>
      <c r="W7" s="2107"/>
      <c r="X7" s="2107"/>
      <c r="Y7" s="2107"/>
      <c r="Z7" s="2107"/>
      <c r="AA7" s="2107"/>
      <c r="AB7" s="2107"/>
      <c r="AC7" s="2107"/>
      <c r="AD7" s="2107"/>
      <c r="AE7" s="2107"/>
    </row>
    <row r="8" spans="1:31" s="2110" customFormat="1" ht="13.5" customHeight="1">
      <c r="A8" s="799" t="s">
        <v>1839</v>
      </c>
      <c r="B8" s="256" t="s">
        <v>465</v>
      </c>
      <c r="C8" s="2855">
        <v>15000</v>
      </c>
      <c r="D8" s="2855">
        <v>25000</v>
      </c>
      <c r="E8" s="2855">
        <v>10000</v>
      </c>
      <c r="F8" s="2855">
        <v>10000</v>
      </c>
      <c r="G8" s="2855"/>
      <c r="H8" s="2855"/>
      <c r="I8" s="2855"/>
      <c r="J8" s="2855"/>
      <c r="K8" s="2856"/>
      <c r="L8" s="2109"/>
      <c r="M8" s="2109"/>
      <c r="N8" s="2109"/>
      <c r="O8" s="2109"/>
      <c r="P8" s="2109"/>
      <c r="Q8" s="2109"/>
      <c r="R8" s="2109"/>
      <c r="S8" s="2109"/>
      <c r="T8" s="2109"/>
      <c r="U8" s="2109"/>
      <c r="V8" s="2109"/>
      <c r="W8" s="2109"/>
      <c r="X8" s="2109"/>
      <c r="Y8" s="2109"/>
      <c r="Z8" s="2109"/>
      <c r="AA8" s="2109"/>
      <c r="AB8" s="2109"/>
      <c r="AC8" s="2109"/>
      <c r="AD8" s="2109"/>
      <c r="AE8" s="2109"/>
    </row>
    <row r="9" spans="1:31" s="2110" customFormat="1" ht="13.5" customHeight="1">
      <c r="A9" s="799" t="s">
        <v>1840</v>
      </c>
      <c r="B9" s="256" t="s">
        <v>466</v>
      </c>
      <c r="C9" s="439">
        <f>SUMIF('数据-汇总表'!$C19:$C33,'剩余法-待开发 (2)'!C7,'数据-汇总表'!$E19:$E33)</f>
        <v>0</v>
      </c>
      <c r="D9" s="439">
        <f>SUMIF('数据-汇总表'!$C19:$C33,'剩余法-待开发 (2)'!D7,'数据-汇总表'!$E19:$E33)</f>
        <v>0</v>
      </c>
      <c r="E9" s="439">
        <f>SUMIF('数据-汇总表'!$C19:$C33,'剩余法-待开发 (2)'!E7,'数据-汇总表'!$E19:$E33)</f>
        <v>0</v>
      </c>
      <c r="F9" s="439">
        <f>SUMIF('数据-汇总表'!$C19:$C33,'剩余法-待开发 (2)'!F7,'数据-汇总表'!$E19:$E33)</f>
        <v>0</v>
      </c>
      <c r="G9" s="439">
        <f>SUMIF('数据-汇总表'!$C19:$C33,'剩余法-待开发 (2)'!G7,'数据-汇总表'!$E19:$E33)</f>
        <v>0</v>
      </c>
      <c r="H9" s="439">
        <f>SUMIF('数据-汇总表'!$C19:$C33,'剩余法-待开发 (2)'!H7,'数据-汇总表'!$E19:$E33)</f>
        <v>0</v>
      </c>
      <c r="I9" s="439">
        <f>SUMIF('数据-汇总表'!$C19:$C33,'剩余法-待开发 (2)'!I7,'数据-汇总表'!$E19:$E33)</f>
        <v>0</v>
      </c>
      <c r="J9" s="439">
        <f>SUMIF('数据-汇总表'!$C19:$C33,'剩余法-待开发 (2)'!J7,'数据-汇总表'!$E19:$E33)</f>
        <v>0</v>
      </c>
      <c r="K9" s="440">
        <f>SUMIF('数据-汇总表'!$C19:$C33,'剩余法-待开发 (2)'!K7,'数据-汇总表'!$E19:$E33)</f>
        <v>0</v>
      </c>
      <c r="L9" s="2109"/>
      <c r="M9" s="2109"/>
      <c r="N9" s="2109"/>
      <c r="O9" s="2109"/>
      <c r="P9" s="2109"/>
      <c r="Q9" s="2109"/>
      <c r="R9" s="2109"/>
      <c r="S9" s="2109"/>
      <c r="T9" s="2109"/>
      <c r="U9" s="2109"/>
      <c r="V9" s="2109"/>
      <c r="W9" s="2109"/>
      <c r="X9" s="2109"/>
      <c r="Y9" s="2109"/>
      <c r="Z9" s="2109"/>
      <c r="AA9" s="2109"/>
      <c r="AB9" s="2109"/>
      <c r="AC9" s="2109"/>
      <c r="AD9" s="2109"/>
      <c r="AE9" s="2109"/>
    </row>
    <row r="10" spans="1:31" s="2110" customFormat="1" ht="13.5" customHeight="1" thickBot="1">
      <c r="A10" s="2857" t="s">
        <v>1841</v>
      </c>
      <c r="B10" s="2843" t="s">
        <v>467</v>
      </c>
      <c r="C10" s="3048">
        <f>ROUND(C8*C9/10000,0)</f>
        <v>0</v>
      </c>
      <c r="D10" s="3048">
        <f>ROUND(D8*D9/10000,0)</f>
        <v>0</v>
      </c>
      <c r="E10" s="3048">
        <f t="shared" ref="E10:F10" si="0">ROUND(E8*E9/10000,0)</f>
        <v>0</v>
      </c>
      <c r="F10" s="3048">
        <f t="shared" si="0"/>
        <v>0</v>
      </c>
      <c r="G10" s="2858"/>
      <c r="H10" s="2858"/>
      <c r="I10" s="2858"/>
      <c r="J10" s="2858"/>
      <c r="K10" s="2859"/>
      <c r="L10" s="2109"/>
      <c r="M10" s="2109"/>
      <c r="N10" s="2109"/>
      <c r="O10" s="2109"/>
      <c r="P10" s="2109"/>
      <c r="Q10" s="2109"/>
      <c r="R10" s="2109"/>
      <c r="S10" s="2109"/>
      <c r="T10" s="2109"/>
      <c r="U10" s="2109"/>
      <c r="V10" s="2109"/>
      <c r="W10" s="2109"/>
      <c r="X10" s="2109"/>
      <c r="Y10" s="2109"/>
      <c r="Z10" s="2109"/>
      <c r="AA10" s="2109"/>
      <c r="AB10" s="2109"/>
      <c r="AC10" s="2109"/>
      <c r="AD10" s="2109"/>
      <c r="AE10" s="2109"/>
    </row>
    <row r="11" spans="1:31" s="2106" customFormat="1" ht="16.5" customHeight="1">
      <c r="A11" s="2860" t="s">
        <v>1837</v>
      </c>
      <c r="B11" s="2850"/>
      <c r="C11" s="2850"/>
      <c r="D11" s="2850"/>
      <c r="E11" s="2850"/>
      <c r="F11" s="2850"/>
      <c r="G11" s="2850"/>
      <c r="H11" s="2850"/>
      <c r="I11" s="2850"/>
      <c r="J11" s="2850"/>
      <c r="K11" s="2852"/>
    </row>
    <row r="12" spans="1:31" s="2080" customFormat="1" ht="13.5" customHeight="1">
      <c r="A12" s="2861" t="s">
        <v>463</v>
      </c>
      <c r="B12" s="2833" t="s">
        <v>464</v>
      </c>
      <c r="C12" s="2862" t="s">
        <v>468</v>
      </c>
      <c r="D12" s="3175" t="s">
        <v>469</v>
      </c>
      <c r="E12" s="3175" t="s">
        <v>470</v>
      </c>
      <c r="F12" s="3175" t="s">
        <v>471</v>
      </c>
      <c r="G12" s="2833"/>
      <c r="H12" s="2834"/>
      <c r="I12" s="2834"/>
      <c r="J12" s="2834"/>
      <c r="K12" s="2835"/>
    </row>
    <row r="13" spans="1:31" s="2111" customFormat="1" ht="13.5" customHeight="1">
      <c r="A13" s="2863" t="s">
        <v>1842</v>
      </c>
      <c r="B13" s="2864" t="s">
        <v>472</v>
      </c>
      <c r="C13" s="448">
        <f ca="1">IF(B1="",'数据-取费表'!P16,INDIRECT("'数据-取费表'!p"&amp;$K$1)+INDIRECT("'数据-取费表'!t"&amp;$K$1))</f>
        <v>123228</v>
      </c>
      <c r="D13" s="2865"/>
      <c r="E13" s="2866"/>
      <c r="F13" s="2867"/>
      <c r="G13" s="2833"/>
      <c r="H13" s="2834"/>
      <c r="I13" s="2834"/>
      <c r="J13" s="2834"/>
      <c r="K13" s="2835"/>
    </row>
    <row r="14" spans="1:31" s="2111" customFormat="1" ht="13.5" customHeight="1">
      <c r="A14" s="2863" t="s">
        <v>1843</v>
      </c>
      <c r="B14" s="2864" t="s">
        <v>473</v>
      </c>
      <c r="C14" s="53">
        <f ca="1">ROUND(C13*F14,0)</f>
        <v>6161</v>
      </c>
      <c r="D14" s="2865"/>
      <c r="E14" s="2866"/>
      <c r="F14" s="2868">
        <f>'数据-取费表'!B33</f>
        <v>0.05</v>
      </c>
      <c r="G14" s="2833" t="s">
        <v>474</v>
      </c>
      <c r="H14" s="2834"/>
      <c r="I14" s="2834"/>
      <c r="J14" s="2834"/>
      <c r="K14" s="2835"/>
    </row>
    <row r="15" spans="1:31" s="2111" customFormat="1" ht="13.5" customHeight="1">
      <c r="A15" s="2863" t="s">
        <v>1844</v>
      </c>
      <c r="B15" s="2864" t="s">
        <v>475</v>
      </c>
      <c r="C15" s="53">
        <f ca="1">ROUND(IF(B1="",SUMIF('数据-取费表'!C:C,"住宅",'数据-取费表'!P:P)*F15,IF(INDIRECT("'数据-取费表'!c"&amp;$K$1)="住宅",INDIRECT("'数据-取费表'!P"&amp;$K$1)*F15,0)),0)</f>
        <v>1932</v>
      </c>
      <c r="D15" s="2865"/>
      <c r="E15" s="2866"/>
      <c r="F15" s="2868">
        <f>'数据-取费表'!B34</f>
        <v>0.03</v>
      </c>
      <c r="G15" s="2833" t="s">
        <v>476</v>
      </c>
      <c r="H15" s="2834"/>
      <c r="I15" s="2834"/>
      <c r="J15" s="2834"/>
      <c r="K15" s="2835"/>
    </row>
    <row r="16" spans="1:31" s="2112" customFormat="1" ht="13.5" customHeight="1">
      <c r="A16" s="2863" t="s">
        <v>1845</v>
      </c>
      <c r="B16" s="2864" t="s">
        <v>477</v>
      </c>
      <c r="C16" s="53">
        <f ca="1">ROUND(D16*E16/10000,0)</f>
        <v>8255</v>
      </c>
      <c r="D16" s="2865">
        <f ca="1">IF(B1="",'数据-汇总表'!E3,INDIRECT("'数据-取费表'!K"&amp;$K$1)+INDIRECT("'数据-取费表'!S"&amp;$K$1))</f>
        <v>412759.99</v>
      </c>
      <c r="E16" s="53">
        <f>'数据-取费表'!B35</f>
        <v>200</v>
      </c>
      <c r="F16" s="2868"/>
      <c r="G16" s="2833"/>
      <c r="H16" s="2834"/>
      <c r="I16" s="2834"/>
      <c r="J16" s="2834"/>
      <c r="K16" s="2835"/>
      <c r="L16" s="2111"/>
      <c r="M16" s="2111"/>
      <c r="N16" s="2111"/>
      <c r="O16" s="2111"/>
      <c r="P16" s="2111"/>
      <c r="Q16" s="2111"/>
      <c r="R16" s="2111"/>
      <c r="S16" s="2111"/>
      <c r="T16" s="2111"/>
      <c r="U16" s="2111"/>
      <c r="V16" s="2111"/>
      <c r="W16" s="2111"/>
      <c r="X16" s="2111"/>
      <c r="Y16" s="2111"/>
      <c r="Z16" s="2111"/>
      <c r="AA16" s="2111"/>
      <c r="AB16" s="2111"/>
      <c r="AC16" s="2111"/>
      <c r="AD16" s="2111"/>
      <c r="AE16" s="2111"/>
    </row>
    <row r="17" spans="1:14" s="2111" customFormat="1" ht="13.5" customHeight="1">
      <c r="A17" s="2863" t="s">
        <v>1846</v>
      </c>
      <c r="B17" s="2864" t="s">
        <v>478</v>
      </c>
      <c r="C17" s="2869">
        <f ca="1">ROUND(C13*F17,0)</f>
        <v>1848</v>
      </c>
      <c r="D17" s="473"/>
      <c r="E17" s="2869"/>
      <c r="F17" s="2870">
        <f>'数据-取费表'!B36</f>
        <v>1.4999999999999999E-2</v>
      </c>
      <c r="G17" s="256" t="s">
        <v>479</v>
      </c>
      <c r="H17" s="2836"/>
      <c r="I17" s="2836"/>
      <c r="J17" s="2836"/>
      <c r="K17" s="274"/>
    </row>
    <row r="18" spans="1:14" s="2111" customFormat="1" ht="13.5" customHeight="1">
      <c r="A18" s="2871" t="s">
        <v>1847</v>
      </c>
      <c r="B18" s="2872" t="s">
        <v>480</v>
      </c>
      <c r="C18" s="2873">
        <f ca="1">SUM(C13:C17)</f>
        <v>141424</v>
      </c>
      <c r="D18" s="2874"/>
      <c r="E18" s="466"/>
      <c r="F18" s="466"/>
      <c r="G18" s="2837" t="s">
        <v>2425</v>
      </c>
      <c r="H18" s="2838"/>
      <c r="I18" s="2838"/>
      <c r="J18" s="2838"/>
      <c r="K18" s="2839"/>
    </row>
    <row r="19" spans="1:14" s="2111" customFormat="1" ht="13.5" customHeight="1">
      <c r="A19" s="2871" t="s">
        <v>1848</v>
      </c>
      <c r="B19" s="2872" t="s">
        <v>481</v>
      </c>
      <c r="C19" s="3175">
        <f ca="1">ROUND(D19*E19/10000,0)</f>
        <v>4128</v>
      </c>
      <c r="D19" s="2875">
        <f ca="1">D16</f>
        <v>412759.99</v>
      </c>
      <c r="E19" s="3175">
        <f>'数据-取费表'!B32</f>
        <v>100</v>
      </c>
      <c r="F19" s="466"/>
      <c r="G19" s="2833" t="s">
        <v>482</v>
      </c>
      <c r="H19" s="2834"/>
      <c r="I19" s="2838"/>
      <c r="J19" s="2838"/>
      <c r="K19" s="2839"/>
    </row>
    <row r="20" spans="1:14" s="2111" customFormat="1" ht="13.5" customHeight="1">
      <c r="A20" s="2871" t="s">
        <v>1849</v>
      </c>
      <c r="B20" s="2872" t="s">
        <v>483</v>
      </c>
      <c r="C20" s="3175">
        <f ca="1">C21+C22-IF(B1="",'数据-取费表'!B29,IF(G20="已全部缴纳",C21+C22,H20))</f>
        <v>12730</v>
      </c>
      <c r="D20" s="2875"/>
      <c r="E20" s="3175"/>
      <c r="F20" s="2876"/>
      <c r="G20" s="3105"/>
      <c r="H20" s="2831"/>
      <c r="I20" s="2832" t="s">
        <v>2650</v>
      </c>
      <c r="J20" s="2838"/>
      <c r="K20" s="2839"/>
    </row>
    <row r="21" spans="1:14" s="2111" customFormat="1" ht="13.5" customHeight="1">
      <c r="A21" s="2863" t="s">
        <v>1850</v>
      </c>
      <c r="B21" s="2864" t="s">
        <v>484</v>
      </c>
      <c r="C21" s="53">
        <f ca="1">ROUND(D21*E21/10000,0)</f>
        <v>4615</v>
      </c>
      <c r="D21" s="2865">
        <f ca="1">IF(B1="",'数据-汇总表'!E5,IF(INDIRECT("'数据-取费表'!c"&amp;$K$1)="住宅",INDIRECT("'数据-取费表'!k"&amp;$K$1),0))</f>
        <v>159154</v>
      </c>
      <c r="E21" s="53">
        <f>'数据-取费表'!B27</f>
        <v>290</v>
      </c>
      <c r="F21" s="2868"/>
      <c r="G21" s="26"/>
      <c r="H21" s="51"/>
      <c r="I21" s="51"/>
      <c r="J21" s="51"/>
      <c r="K21" s="2840"/>
    </row>
    <row r="22" spans="1:14" s="2111" customFormat="1" ht="13.5" customHeight="1">
      <c r="A22" s="2863" t="s">
        <v>1851</v>
      </c>
      <c r="B22" s="2864" t="s">
        <v>485</v>
      </c>
      <c r="C22" s="53">
        <f ca="1">ROUND(D22*E22/10000,0)</f>
        <v>8115</v>
      </c>
      <c r="D22" s="2865">
        <f ca="1">IF(B1="",'数据-汇总表'!E6,IF(INDIRECT("'数据-取费表'!c"&amp;$K$1)="住宅",INDIRECT("'数据-取费表'!s"&amp;$K$1),INDIRECT("'数据-取费表'!k"&amp;$K$1)+INDIRECT("'数据-取费表'!s"&amp;$K$1)))</f>
        <v>253605.99</v>
      </c>
      <c r="E22" s="53">
        <f>'数据-取费表'!B28</f>
        <v>320</v>
      </c>
      <c r="F22" s="2868"/>
      <c r="G22" s="26"/>
      <c r="H22" s="51"/>
      <c r="I22" s="51"/>
      <c r="J22" s="51"/>
      <c r="K22" s="2840"/>
    </row>
    <row r="23" spans="1:14" s="2111" customFormat="1" ht="13.5" customHeight="1">
      <c r="A23" s="2871" t="s">
        <v>1852</v>
      </c>
      <c r="B23" s="3054" t="s">
        <v>2833</v>
      </c>
      <c r="C23" s="2873">
        <f ca="1">ROUND((C18+C19+C20)*F23,0)</f>
        <v>3166</v>
      </c>
      <c r="D23" s="466"/>
      <c r="E23" s="466"/>
      <c r="F23" s="2877">
        <f>'数据-取费表'!B37</f>
        <v>0.02</v>
      </c>
      <c r="G23" s="2833" t="s">
        <v>2426</v>
      </c>
      <c r="H23" s="2834"/>
      <c r="I23" s="2834"/>
      <c r="J23" s="2834"/>
      <c r="K23" s="2835"/>
      <c r="L23" s="2113"/>
      <c r="M23" s="2113"/>
      <c r="N23" s="2113"/>
    </row>
    <row r="24" spans="1:14" s="2111" customFormat="1" ht="13.5" customHeight="1">
      <c r="A24" s="2871" t="s">
        <v>1853</v>
      </c>
      <c r="B24" s="3054" t="s">
        <v>2836</v>
      </c>
      <c r="C24" s="2873">
        <f>ROUND(C6*F24,0)</f>
        <v>0</v>
      </c>
      <c r="D24" s="473"/>
      <c r="E24" s="471"/>
      <c r="F24" s="2877">
        <f>'数据-取费表'!B38</f>
        <v>0.02</v>
      </c>
      <c r="G24" s="2842" t="s">
        <v>492</v>
      </c>
      <c r="H24" s="2836"/>
      <c r="I24" s="2836"/>
      <c r="J24" s="2836"/>
      <c r="K24" s="274"/>
      <c r="L24" s="2113"/>
      <c r="M24" s="2113"/>
      <c r="N24" s="2113"/>
    </row>
    <row r="25" spans="1:14" s="2114" customFormat="1" ht="13.5" customHeight="1">
      <c r="A25" s="2871" t="s">
        <v>1854</v>
      </c>
      <c r="B25" s="3054" t="s">
        <v>2834</v>
      </c>
      <c r="C25" s="465">
        <f>ROUND(F25/(1+'数据-取费表'!C42),4)</f>
        <v>2.9000000000000001E-2</v>
      </c>
      <c r="D25" s="460" t="s">
        <v>2828</v>
      </c>
      <c r="E25" s="467"/>
      <c r="F25" s="2877">
        <f>'数据-取费表'!B48+'数据-取费表'!B49</f>
        <v>3.0499999999999999E-2</v>
      </c>
      <c r="G25" s="2841" t="s">
        <v>2284</v>
      </c>
      <c r="H25" s="2834"/>
      <c r="I25" s="2834"/>
      <c r="J25" s="2834"/>
      <c r="K25" s="2835"/>
    </row>
    <row r="26" spans="1:14" s="2113" customFormat="1" ht="13.5" customHeight="1">
      <c r="A26" s="2871" t="s">
        <v>1855</v>
      </c>
      <c r="B26" s="3055" t="s">
        <v>2835</v>
      </c>
      <c r="C26" s="2878">
        <f ca="1">C28</f>
        <v>11639</v>
      </c>
      <c r="D26" s="465">
        <f ca="1">C27</f>
        <v>0.1537</v>
      </c>
      <c r="E26" s="467" t="s">
        <v>488</v>
      </c>
      <c r="F26" s="469">
        <f ca="1">'数据-取费表'!B40</f>
        <v>4.7500000000000001E-2</v>
      </c>
      <c r="G26" s="2591" t="str">
        <f>IF('数据-取费表'!B22&lt;=1,"单利计息。","复利计息。")&amp;"后续开发成本、管理费用及销售费用产生的利息。"</f>
        <v>复利计息。后续开发成本、管理费用及销售费用产生的利息。</v>
      </c>
      <c r="H26" s="2838"/>
      <c r="I26" s="2838"/>
      <c r="J26" s="2838"/>
      <c r="K26" s="2839"/>
    </row>
    <row r="27" spans="1:14" s="2115" customFormat="1" ht="13.5" customHeight="1">
      <c r="A27" s="799" t="s">
        <v>1850</v>
      </c>
      <c r="B27" s="2879" t="s">
        <v>489</v>
      </c>
      <c r="C27" s="2880">
        <f ca="1">ROUND(IF('数据-取费表'!B22&lt;=1,(1+C25)*F26*'数据-取费表'!B24,(1+C25)*(POWER((1+F26),'数据-取费表'!B24)-1)),4)</f>
        <v>0.1537</v>
      </c>
      <c r="D27" s="470"/>
      <c r="E27" s="471"/>
      <c r="F27" s="472"/>
      <c r="G27" s="2591" t="str">
        <f>IF('数据-取费表'!B22&lt;=1,"（1+取得税费率/(1+5%)）×年利率×建设期","（1+取得税费率）/(1+5%)×((1+年利率)^建设期-1)")</f>
        <v>（1+取得税费率）/(1+5%)×((1+年利率)^建设期-1)</v>
      </c>
      <c r="H27" s="2836"/>
      <c r="I27" s="2836"/>
      <c r="J27" s="2836"/>
      <c r="K27" s="274"/>
    </row>
    <row r="28" spans="1:14" s="2115" customFormat="1" ht="13.5" customHeight="1">
      <c r="A28" s="799" t="s">
        <v>1851</v>
      </c>
      <c r="B28" s="2879" t="s">
        <v>2837</v>
      </c>
      <c r="C28" s="2881">
        <f ca="1">ROUND(IF('数据-取费表'!B22&lt;=1,(C18+C19+C20+C23+C24)*F26*'数据-取费表'!B24/2,(C18+C19+C20+C23+C24)*(POWER((1+F26),'数据-取费表'!B24/2)-1)),0)</f>
        <v>11639</v>
      </c>
      <c r="D28" s="470"/>
      <c r="E28" s="471"/>
      <c r="F28" s="472"/>
      <c r="G28" s="2591" t="str">
        <f>IF('数据-取费表'!B22&lt;=1,"（1）-（4）项×年利率×建设期÷2","（1）-（4）项×((1+年利率)^(建设期÷2)-1)")</f>
        <v>（1）-（4）项×((1+年利率)^(建设期÷2)-1)</v>
      </c>
      <c r="H28" s="2836"/>
      <c r="I28" s="2836"/>
      <c r="J28" s="2836"/>
      <c r="K28" s="274"/>
    </row>
    <row r="29" spans="1:14" s="2115" customFormat="1" ht="13.5" customHeight="1">
      <c r="A29" s="2882" t="s">
        <v>1856</v>
      </c>
      <c r="B29" s="2872" t="s">
        <v>490</v>
      </c>
      <c r="C29" s="2873">
        <f>ROUND(C6*F29/(1+'数据-取费表'!C42),0)</f>
        <v>0</v>
      </c>
      <c r="D29" s="466"/>
      <c r="E29" s="466"/>
      <c r="F29" s="3056">
        <f>'数据-取费表'!B41</f>
        <v>5.6000000000000001E-2</v>
      </c>
      <c r="G29" s="2842" t="s">
        <v>491</v>
      </c>
      <c r="H29" s="2834"/>
      <c r="I29" s="2834"/>
      <c r="J29" s="2834"/>
      <c r="K29" s="2835"/>
    </row>
    <row r="30" spans="1:14" s="2116" customFormat="1" ht="13.5" customHeight="1">
      <c r="A30" s="1630" t="s">
        <v>1857</v>
      </c>
      <c r="B30" s="2883" t="s">
        <v>493</v>
      </c>
      <c r="C30" s="2878">
        <f ca="1">C31</f>
        <v>173087</v>
      </c>
      <c r="D30" s="475">
        <f ca="1">C32</f>
        <v>0.1827</v>
      </c>
      <c r="E30" s="467" t="s">
        <v>488</v>
      </c>
      <c r="F30" s="469"/>
      <c r="G30" s="2833" t="s">
        <v>494</v>
      </c>
      <c r="H30" s="2834"/>
      <c r="I30" s="2834"/>
      <c r="J30" s="2834"/>
      <c r="K30" s="2835"/>
    </row>
    <row r="31" spans="1:14" s="2115" customFormat="1" ht="13.5" customHeight="1">
      <c r="A31" s="799" t="s">
        <v>1850</v>
      </c>
      <c r="B31" s="2879"/>
      <c r="C31" s="448">
        <f ca="1">C18+C19+C20+C23+C24+C26+C29</f>
        <v>173087</v>
      </c>
      <c r="D31" s="470"/>
      <c r="E31" s="471"/>
      <c r="F31" s="472"/>
      <c r="G31" s="256"/>
      <c r="H31" s="2836"/>
      <c r="I31" s="2836"/>
      <c r="J31" s="2836"/>
      <c r="K31" s="274"/>
    </row>
    <row r="32" spans="1:14" s="2115" customFormat="1" ht="13.5" customHeight="1">
      <c r="A32" s="799" t="s">
        <v>1851</v>
      </c>
      <c r="B32" s="2879"/>
      <c r="C32" s="53">
        <f ca="1">ROUND(C25+D26,4)</f>
        <v>0.1827</v>
      </c>
      <c r="D32" s="470"/>
      <c r="E32" s="471"/>
      <c r="F32" s="472"/>
      <c r="G32" s="256"/>
      <c r="H32" s="2836"/>
      <c r="I32" s="2836"/>
      <c r="J32" s="2836"/>
      <c r="K32" s="274"/>
    </row>
    <row r="33" spans="1:11" s="2117" customFormat="1" ht="13.5" customHeight="1">
      <c r="A33" s="3053" t="s">
        <v>2832</v>
      </c>
      <c r="B33" s="3051" t="s">
        <v>2830</v>
      </c>
      <c r="C33" s="476">
        <f ca="1">C35</f>
        <v>22603</v>
      </c>
      <c r="D33" s="465">
        <f ca="1">C34</f>
        <v>0.14410000000000001</v>
      </c>
      <c r="E33" s="467" t="s">
        <v>488</v>
      </c>
      <c r="F33" s="477">
        <f ca="1">IF(B1="",'数据-取费表'!Q16,INDIRECT("'数据-取费表'!q"&amp;$K$1))</f>
        <v>0.14000000000000001</v>
      </c>
      <c r="G33" s="2837"/>
      <c r="H33" s="2838"/>
      <c r="I33" s="2838"/>
      <c r="J33" s="2838"/>
      <c r="K33" s="2839"/>
    </row>
    <row r="34" spans="1:11" s="2118" customFormat="1" ht="13.5" customHeight="1">
      <c r="A34" s="373" t="s">
        <v>1850</v>
      </c>
      <c r="B34" s="2884" t="s">
        <v>495</v>
      </c>
      <c r="C34" s="470">
        <f ca="1">ROUND((1+C25)*F33,4)</f>
        <v>0.14410000000000001</v>
      </c>
      <c r="D34" s="470"/>
      <c r="E34" s="471"/>
      <c r="F34" s="478"/>
      <c r="G34" s="256" t="s">
        <v>2285</v>
      </c>
      <c r="H34" s="2836"/>
      <c r="I34" s="2836"/>
      <c r="J34" s="2836"/>
      <c r="K34" s="274"/>
    </row>
    <row r="35" spans="1:11" s="2118" customFormat="1" ht="13.5" customHeight="1" thickBot="1">
      <c r="A35" s="1631" t="s">
        <v>1851</v>
      </c>
      <c r="B35" s="3052" t="s">
        <v>2838</v>
      </c>
      <c r="C35" s="1623">
        <f ca="1">ROUND((C18+C19+C20+C23+C24)*F33,0)</f>
        <v>22603</v>
      </c>
      <c r="D35" s="1624"/>
      <c r="E35" s="2885"/>
      <c r="F35" s="1625"/>
      <c r="G35" s="2843"/>
      <c r="H35" s="2844"/>
      <c r="I35" s="2844"/>
      <c r="J35" s="2844"/>
      <c r="K35" s="2845"/>
    </row>
    <row r="36" spans="1:11" s="2080" customFormat="1" ht="13.5" customHeight="1" thickBot="1">
      <c r="A36" s="279" t="s">
        <v>1838</v>
      </c>
      <c r="B36" s="2847"/>
      <c r="C36" s="2886">
        <f ca="1">ROUND((C6-C30-C33)/(1+D30+D33),0)</f>
        <v>-147490</v>
      </c>
      <c r="D36" s="2847"/>
      <c r="E36" s="2847"/>
      <c r="F36" s="2847"/>
      <c r="G36" s="2846" t="s">
        <v>2839</v>
      </c>
      <c r="H36" s="2847"/>
      <c r="I36" s="2847"/>
      <c r="J36" s="2847"/>
      <c r="K36" s="2848"/>
    </row>
    <row r="38" spans="1:11" ht="12.75" customHeight="1"/>
  </sheetData>
  <sheetProtection password="C66D" sheet="1" objects="1" scenarios="1" formatCells="0" formatColumns="0" formatRows="0"/>
  <phoneticPr fontId="233"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5" zoomScaleNormal="100" workbookViewId="0">
      <selection activeCell="R47" sqref="R47:W48"/>
    </sheetView>
  </sheetViews>
  <sheetFormatPr defaultRowHeight="14.25"/>
  <cols>
    <col min="1" max="1" width="10.5" style="1332" customWidth="1"/>
    <col min="2" max="2" width="15.75" style="1332" customWidth="1"/>
    <col min="3" max="3" width="21" style="1332" customWidth="1"/>
    <col min="4" max="4" width="12.25" style="1332" customWidth="1"/>
    <col min="5" max="5" width="17.375" style="1332" customWidth="1"/>
    <col min="6" max="6" width="12.25" style="1332" customWidth="1"/>
    <col min="7" max="7" width="18.25" style="1332" customWidth="1"/>
    <col min="8" max="8" width="12.25" style="1332" customWidth="1"/>
    <col min="9" max="9" width="18.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0" t="s">
        <v>712</v>
      </c>
      <c r="B1" s="2642" t="s">
        <v>713</v>
      </c>
      <c r="C1" s="2643" t="s">
        <v>714</v>
      </c>
      <c r="D1" s="2644" t="s">
        <v>3097</v>
      </c>
      <c r="E1" s="2645"/>
      <c r="F1" s="2828" t="s">
        <v>3073</v>
      </c>
      <c r="G1" s="1596" t="s">
        <v>715</v>
      </c>
      <c r="H1" s="504"/>
      <c r="I1" s="504"/>
      <c r="J1" s="504"/>
      <c r="K1" s="505"/>
      <c r="L1" s="1557"/>
      <c r="M1" s="1558"/>
      <c r="N1" s="1558"/>
      <c r="O1" s="1558"/>
      <c r="P1" s="1559"/>
      <c r="Q1" s="1559"/>
      <c r="R1" s="1559"/>
      <c r="S1" s="1559"/>
      <c r="T1" s="1559"/>
      <c r="U1" s="1559"/>
      <c r="V1" s="1559"/>
      <c r="W1" s="1559"/>
      <c r="X1" s="1559"/>
      <c r="Y1" s="1559"/>
      <c r="Z1" s="1559"/>
      <c r="AA1" s="1559"/>
      <c r="AB1" s="1559"/>
      <c r="AC1" s="1560"/>
    </row>
    <row r="2" spans="1:29" s="1357" customFormat="1" ht="28.5" customHeight="1">
      <c r="A2" s="421" t="s">
        <v>460</v>
      </c>
      <c r="B2" s="2641">
        <f>ROUND(B3*D3/10000,0)</f>
        <v>533334</v>
      </c>
      <c r="C2" s="2122"/>
      <c r="D2" s="2122"/>
      <c r="E2" s="2122"/>
      <c r="F2" s="2196"/>
      <c r="G2" s="2122"/>
      <c r="H2" s="2122"/>
      <c r="I2" s="2122"/>
      <c r="J2" s="2122"/>
      <c r="K2" s="2197"/>
      <c r="L2" s="2198"/>
      <c r="M2" s="2199"/>
      <c r="N2" s="2199"/>
      <c r="O2" s="2199"/>
      <c r="P2" s="1597"/>
      <c r="Q2" s="1597"/>
      <c r="R2" s="1597"/>
      <c r="S2" s="1597"/>
      <c r="T2" s="1597"/>
      <c r="U2" s="1597"/>
      <c r="V2" s="1597"/>
      <c r="W2" s="1597"/>
      <c r="X2" s="1597"/>
      <c r="Y2" s="1597"/>
      <c r="Z2" s="1597"/>
      <c r="AA2" s="1597"/>
      <c r="AB2" s="1597"/>
      <c r="AC2" s="1598"/>
    </row>
    <row r="3" spans="1:29" s="1357" customFormat="1" ht="28.5" customHeight="1" thickBot="1">
      <c r="A3" s="507" t="s">
        <v>513</v>
      </c>
      <c r="B3" s="847">
        <f>C49</f>
        <v>45062</v>
      </c>
      <c r="C3" s="848" t="s">
        <v>716</v>
      </c>
      <c r="D3" s="847">
        <f>SUMIF('数据-汇总表'!$C19:$C33,D1,'数据-汇总表'!$E19:$E33)</f>
        <v>118355.56</v>
      </c>
      <c r="E3" s="2122"/>
      <c r="F3" s="2196"/>
      <c r="G3" s="2122"/>
      <c r="H3" s="2122"/>
      <c r="I3" s="2122"/>
      <c r="J3" s="2122"/>
      <c r="K3" s="2197"/>
      <c r="L3" s="2198"/>
      <c r="M3" s="2199"/>
      <c r="N3" s="2199"/>
      <c r="O3" s="2199"/>
      <c r="P3" s="1597"/>
      <c r="Q3" s="1597"/>
      <c r="R3" s="1597"/>
      <c r="S3" s="1597"/>
      <c r="T3" s="1597"/>
      <c r="U3" s="1597"/>
      <c r="V3" s="1597"/>
      <c r="W3" s="1597"/>
      <c r="X3" s="1597"/>
      <c r="Y3" s="1597"/>
      <c r="Z3" s="1597"/>
      <c r="AA3" s="1597"/>
      <c r="AB3" s="1597"/>
      <c r="AC3" s="1599"/>
    </row>
    <row r="4" spans="1:29" ht="15">
      <c r="A4" s="510" t="s">
        <v>515</v>
      </c>
      <c r="B4" s="511"/>
      <c r="C4" s="3469" t="s">
        <v>516</v>
      </c>
      <c r="D4" s="3470"/>
      <c r="E4" s="3493" t="s">
        <v>517</v>
      </c>
      <c r="F4" s="3494"/>
      <c r="G4" s="3469" t="s">
        <v>518</v>
      </c>
      <c r="H4" s="3470"/>
      <c r="I4" s="3469" t="s">
        <v>519</v>
      </c>
      <c r="J4" s="3470"/>
      <c r="K4" s="849" t="s">
        <v>520</v>
      </c>
      <c r="L4" s="2128"/>
      <c r="M4" s="2129"/>
      <c r="N4" s="2129"/>
      <c r="O4" s="2129"/>
      <c r="P4" s="3471" t="s">
        <v>521</v>
      </c>
      <c r="Q4" s="3472"/>
      <c r="R4" s="3457" t="s">
        <v>517</v>
      </c>
      <c r="S4" s="3458"/>
      <c r="T4" s="3457" t="s">
        <v>518</v>
      </c>
      <c r="U4" s="3458"/>
      <c r="V4" s="3477" t="s">
        <v>519</v>
      </c>
      <c r="W4" s="3477"/>
      <c r="X4" s="1562"/>
      <c r="Y4" s="3457" t="s">
        <v>521</v>
      </c>
      <c r="Z4" s="3458"/>
      <c r="AA4" s="3452" t="s">
        <v>517</v>
      </c>
      <c r="AB4" s="3452" t="s">
        <v>518</v>
      </c>
      <c r="AC4" s="3452" t="s">
        <v>519</v>
      </c>
    </row>
    <row r="5" spans="1:29" ht="15">
      <c r="A5" s="513"/>
      <c r="B5" s="514"/>
      <c r="C5" s="3540" t="s">
        <v>3222</v>
      </c>
      <c r="D5" s="3481"/>
      <c r="E5" s="3539" t="s">
        <v>3264</v>
      </c>
      <c r="F5" s="3496"/>
      <c r="G5" s="3540" t="s">
        <v>3272</v>
      </c>
      <c r="H5" s="3481"/>
      <c r="I5" s="3540" t="s">
        <v>3271</v>
      </c>
      <c r="J5" s="3481"/>
      <c r="K5" s="850"/>
      <c r="L5" s="2128"/>
      <c r="M5" s="2129"/>
      <c r="N5" s="2129"/>
      <c r="O5" s="2129"/>
      <c r="P5" s="3473"/>
      <c r="Q5" s="3474"/>
      <c r="R5" s="3459"/>
      <c r="S5" s="3460"/>
      <c r="T5" s="3459"/>
      <c r="U5" s="3460"/>
      <c r="V5" s="3477"/>
      <c r="W5" s="3477"/>
      <c r="X5" s="1562"/>
      <c r="Y5" s="3459"/>
      <c r="Z5" s="3460"/>
      <c r="AA5" s="3453"/>
      <c r="AB5" s="3453"/>
      <c r="AC5" s="3453"/>
    </row>
    <row r="6" spans="1:29" ht="15.75" thickBot="1">
      <c r="A6" s="515"/>
      <c r="B6" s="516"/>
      <c r="C6" s="3478" t="s">
        <v>2927</v>
      </c>
      <c r="D6" s="3479"/>
      <c r="E6" s="3497" t="s">
        <v>2927</v>
      </c>
      <c r="F6" s="3498"/>
      <c r="G6" s="3478" t="s">
        <v>2927</v>
      </c>
      <c r="H6" s="3479"/>
      <c r="I6" s="3478" t="s">
        <v>2927</v>
      </c>
      <c r="J6" s="3479"/>
      <c r="K6" s="850" t="s">
        <v>522</v>
      </c>
      <c r="L6" s="2128"/>
      <c r="M6" s="2129"/>
      <c r="N6" s="2129"/>
      <c r="O6" s="2129"/>
      <c r="P6" s="3475"/>
      <c r="Q6" s="3476"/>
      <c r="R6" s="3459"/>
      <c r="S6" s="3460"/>
      <c r="T6" s="3461"/>
      <c r="U6" s="3462"/>
      <c r="V6" s="3477"/>
      <c r="W6" s="3477"/>
      <c r="X6" s="1562"/>
      <c r="Y6" s="3461"/>
      <c r="Z6" s="3462"/>
      <c r="AA6" s="3454"/>
      <c r="AB6" s="3454"/>
      <c r="AC6" s="3454"/>
    </row>
    <row r="7" spans="1:29" s="1215" customFormat="1" ht="15.75" thickBot="1">
      <c r="A7" s="2933"/>
      <c r="B7" s="2940" t="s">
        <v>523</v>
      </c>
      <c r="C7" s="517">
        <f>'数据-取费表'!B2</f>
        <v>43035</v>
      </c>
      <c r="D7" s="518">
        <v>100</v>
      </c>
      <c r="E7" s="519">
        <v>43009</v>
      </c>
      <c r="F7" s="520">
        <f>SUMIF(58:58,YEAR(E7)&amp;"-"&amp;MONTH(E7),59:59)</f>
        <v>100</v>
      </c>
      <c r="G7" s="521">
        <f>E7</f>
        <v>43009</v>
      </c>
      <c r="H7" s="518">
        <f>SUMIF(58:58,YEAR(G7)&amp;"-"&amp;MONTH(G7),59:59)</f>
        <v>100</v>
      </c>
      <c r="I7" s="521">
        <f>G7</f>
        <v>43009</v>
      </c>
      <c r="J7" s="518">
        <f>SUMIF(58:58,YEAR(I7)&amp;"-"&amp;MONTH(I7),59:59)</f>
        <v>100</v>
      </c>
      <c r="K7" s="851"/>
      <c r="L7" s="2130"/>
      <c r="M7" s="2131"/>
      <c r="N7" s="2131"/>
      <c r="O7" s="2131"/>
      <c r="P7" s="3455" t="s">
        <v>524</v>
      </c>
      <c r="Q7" s="3464"/>
      <c r="R7" s="1563" t="s">
        <v>13</v>
      </c>
      <c r="S7" s="1564">
        <f t="shared" ref="S7:S15" si="0">F7</f>
        <v>100</v>
      </c>
      <c r="T7" s="1563" t="s">
        <v>13</v>
      </c>
      <c r="U7" s="1564">
        <f t="shared" ref="U7:U15" si="1">H7</f>
        <v>100</v>
      </c>
      <c r="V7" s="1563" t="s">
        <v>13</v>
      </c>
      <c r="W7" s="1564">
        <f t="shared" ref="W7:W15" si="2">J7</f>
        <v>100</v>
      </c>
      <c r="X7" s="1565"/>
      <c r="Y7" s="3455" t="s">
        <v>524</v>
      </c>
      <c r="Z7" s="3456"/>
      <c r="AA7" s="1566">
        <f>D7/F7</f>
        <v>1</v>
      </c>
      <c r="AB7" s="1566">
        <f>D7/H7</f>
        <v>1</v>
      </c>
      <c r="AC7" s="1566">
        <f>D7/J7</f>
        <v>1</v>
      </c>
    </row>
    <row r="8" spans="1:29" s="1215" customFormat="1" ht="15.75" thickBot="1">
      <c r="A8" s="2934"/>
      <c r="B8" s="2941" t="s">
        <v>525</v>
      </c>
      <c r="C8" s="523" t="s">
        <v>570</v>
      </c>
      <c r="D8" s="518">
        <v>100</v>
      </c>
      <c r="E8" s="523" t="s">
        <v>570</v>
      </c>
      <c r="F8" s="520">
        <f>SUMIF(61:61,E8,62:62)-SUMIF(61:61,C8,62:62)+100</f>
        <v>100</v>
      </c>
      <c r="G8" s="523" t="s">
        <v>570</v>
      </c>
      <c r="H8" s="518">
        <f>SUMIF(61:61,G8,62:62)-SUMIF(61:61,C8,62:62)+100</f>
        <v>100</v>
      </c>
      <c r="I8" s="523" t="s">
        <v>570</v>
      </c>
      <c r="J8" s="518">
        <f>SUMIF(61:61,I8,62:62)-SUMIF(61:61,C8,62:62)+100</f>
        <v>100</v>
      </c>
      <c r="K8" s="851"/>
      <c r="L8" s="2130"/>
      <c r="M8" s="2131"/>
      <c r="N8" s="2131"/>
      <c r="O8" s="2131"/>
      <c r="P8" s="3455" t="s">
        <v>527</v>
      </c>
      <c r="Q8" s="3456"/>
      <c r="R8" s="1563" t="s">
        <v>13</v>
      </c>
      <c r="S8" s="1564">
        <f t="shared" si="0"/>
        <v>100</v>
      </c>
      <c r="T8" s="1563" t="s">
        <v>13</v>
      </c>
      <c r="U8" s="1564">
        <f t="shared" si="1"/>
        <v>100</v>
      </c>
      <c r="V8" s="1563" t="s">
        <v>13</v>
      </c>
      <c r="W8" s="1564">
        <f t="shared" si="2"/>
        <v>100</v>
      </c>
      <c r="X8" s="1565"/>
      <c r="Y8" s="3455" t="s">
        <v>527</v>
      </c>
      <c r="Z8" s="3456"/>
      <c r="AA8" s="1566">
        <f t="shared" ref="AA8:AA46" si="3">D8/F8</f>
        <v>1</v>
      </c>
      <c r="AB8" s="1566">
        <f t="shared" ref="AB8:AB46" si="4">D8/H8</f>
        <v>1</v>
      </c>
      <c r="AC8" s="1566">
        <f t="shared" ref="AC8:AC46" si="5">D8/J8</f>
        <v>1</v>
      </c>
    </row>
    <row r="9" spans="1:29" s="1215" customFormat="1" ht="15">
      <c r="A9" s="2935"/>
      <c r="B9" s="2942" t="s">
        <v>2755</v>
      </c>
      <c r="C9" s="3167" t="s">
        <v>3058</v>
      </c>
      <c r="D9" s="249">
        <v>100</v>
      </c>
      <c r="E9" s="3167" t="s">
        <v>3058</v>
      </c>
      <c r="F9" s="855">
        <f>SUMIF(63:63,E9,64:64)-SUMIF(63:63,C9,64:64)+100</f>
        <v>100</v>
      </c>
      <c r="G9" s="3167" t="s">
        <v>3058</v>
      </c>
      <c r="H9" s="249">
        <f>SUMIF(63:63,G9,64:64)-SUMIF(63:63,C9,64:64)+100</f>
        <v>100</v>
      </c>
      <c r="I9" s="3167" t="s">
        <v>3058</v>
      </c>
      <c r="J9" s="249">
        <f>SUMIF(63:63,I9,64:64)-SUMIF(63:63,C9,64:64)+100</f>
        <v>100</v>
      </c>
      <c r="K9" s="851"/>
      <c r="L9" s="2130"/>
      <c r="M9" s="2131"/>
      <c r="N9" s="2131"/>
      <c r="O9" s="2132"/>
      <c r="P9" s="3463" t="s">
        <v>529</v>
      </c>
      <c r="Q9" s="1146" t="str">
        <f t="shared" ref="Q9:Q15" si="6">B9</f>
        <v>用途</v>
      </c>
      <c r="R9" s="1563" t="s">
        <v>8</v>
      </c>
      <c r="S9" s="1564">
        <f t="shared" si="0"/>
        <v>100</v>
      </c>
      <c r="T9" s="1563" t="s">
        <v>8</v>
      </c>
      <c r="U9" s="1564">
        <f t="shared" si="1"/>
        <v>100</v>
      </c>
      <c r="V9" s="1563" t="s">
        <v>8</v>
      </c>
      <c r="W9" s="1564">
        <f t="shared" si="2"/>
        <v>100</v>
      </c>
      <c r="X9" s="1565"/>
      <c r="Y9" s="3420" t="s">
        <v>530</v>
      </c>
      <c r="Z9" s="1145" t="str">
        <f t="shared" ref="Z9:Z15" si="7">Q9</f>
        <v>用途</v>
      </c>
      <c r="AA9" s="1566">
        <f t="shared" si="3"/>
        <v>1</v>
      </c>
      <c r="AB9" s="1566">
        <f t="shared" si="4"/>
        <v>1</v>
      </c>
      <c r="AC9" s="1566">
        <f t="shared" si="5"/>
        <v>1</v>
      </c>
    </row>
    <row r="10" spans="1:29" s="1333" customFormat="1" ht="27">
      <c r="A10" s="2936"/>
      <c r="B10" s="2941" t="s">
        <v>2756</v>
      </c>
      <c r="C10" s="857" t="s">
        <v>3059</v>
      </c>
      <c r="D10" s="250">
        <v>100</v>
      </c>
      <c r="E10" s="857" t="s">
        <v>3059</v>
      </c>
      <c r="F10" s="859">
        <f>SUMIF(65:65,E10,66:66)-SUMIF(65:65,C10,66:66)+100</f>
        <v>100</v>
      </c>
      <c r="G10" s="857" t="s">
        <v>3059</v>
      </c>
      <c r="H10" s="250">
        <f>SUMIF(65:65,G10,66:66)-SUMIF(65:65,C10,66:66)+100</f>
        <v>100</v>
      </c>
      <c r="I10" s="857" t="s">
        <v>3059</v>
      </c>
      <c r="J10" s="250">
        <f>SUMIF(65:65,I10,66:66)-SUMIF(65:65,C10,66:66)+100</f>
        <v>100</v>
      </c>
      <c r="K10" s="860">
        <v>1</v>
      </c>
      <c r="L10" s="2133"/>
      <c r="M10" s="2173"/>
      <c r="N10" s="2173"/>
      <c r="O10" s="2134"/>
      <c r="P10" s="3463"/>
      <c r="Q10" s="1146" t="str">
        <f t="shared" si="6"/>
        <v>土地使用年限（年）</v>
      </c>
      <c r="R10" s="1563" t="s">
        <v>8</v>
      </c>
      <c r="S10" s="1564">
        <f t="shared" si="0"/>
        <v>100</v>
      </c>
      <c r="T10" s="1563" t="s">
        <v>8</v>
      </c>
      <c r="U10" s="1564">
        <f t="shared" si="1"/>
        <v>100</v>
      </c>
      <c r="V10" s="1563" t="s">
        <v>8</v>
      </c>
      <c r="W10" s="1564">
        <f t="shared" si="2"/>
        <v>100</v>
      </c>
      <c r="X10" s="1565"/>
      <c r="Y10" s="3420"/>
      <c r="Z10" s="1145" t="str">
        <f t="shared" si="7"/>
        <v>土地使用年限（年）</v>
      </c>
      <c r="AA10" s="1566">
        <f t="shared" si="3"/>
        <v>1</v>
      </c>
      <c r="AB10" s="1566">
        <f t="shared" si="4"/>
        <v>1</v>
      </c>
      <c r="AC10" s="1566">
        <f t="shared" si="5"/>
        <v>1</v>
      </c>
    </row>
    <row r="11" spans="1:29" ht="15">
      <c r="A11" s="2937"/>
      <c r="B11" s="2941" t="s">
        <v>2757</v>
      </c>
      <c r="C11" s="529">
        <f>'比较法-住宅、综合'!C13</f>
        <v>2.3199999999999998</v>
      </c>
      <c r="D11" s="250">
        <v>100</v>
      </c>
      <c r="E11" s="530">
        <v>2</v>
      </c>
      <c r="F11" s="859">
        <f>LOOKUP(E11,68:68,69:69)-LOOKUP(C11,68:68,69:69)+100</f>
        <v>100</v>
      </c>
      <c r="G11" s="529">
        <v>4.57</v>
      </c>
      <c r="H11" s="250">
        <f>LOOKUP(G11,68:68,69:69)-LOOKUP(C11,68:68,69:69)+100</f>
        <v>98</v>
      </c>
      <c r="I11" s="529">
        <v>1</v>
      </c>
      <c r="J11" s="250">
        <f>LOOKUP(I11,68:68,69:69)-LOOKUP(C11,68:68,69:69)+100</f>
        <v>101</v>
      </c>
      <c r="K11" s="860">
        <v>1</v>
      </c>
      <c r="L11" s="2135"/>
      <c r="M11" s="2129"/>
      <c r="N11" s="2129"/>
      <c r="O11" s="2136"/>
      <c r="P11" s="3463"/>
      <c r="Q11" s="1146" t="str">
        <f t="shared" si="6"/>
        <v>容积率</v>
      </c>
      <c r="R11" s="1563" t="s">
        <v>11</v>
      </c>
      <c r="S11" s="1564">
        <f t="shared" si="0"/>
        <v>100</v>
      </c>
      <c r="T11" s="1563" t="s">
        <v>11</v>
      </c>
      <c r="U11" s="1564">
        <f t="shared" si="1"/>
        <v>98</v>
      </c>
      <c r="V11" s="1563" t="s">
        <v>11</v>
      </c>
      <c r="W11" s="1564">
        <f t="shared" si="2"/>
        <v>101</v>
      </c>
      <c r="X11" s="1565"/>
      <c r="Y11" s="3420"/>
      <c r="Z11" s="1145" t="str">
        <f t="shared" si="7"/>
        <v>容积率</v>
      </c>
      <c r="AA11" s="1566">
        <f t="shared" si="3"/>
        <v>1</v>
      </c>
      <c r="AB11" s="1566">
        <f t="shared" si="4"/>
        <v>1.0204081632653061</v>
      </c>
      <c r="AC11" s="1566">
        <f t="shared" si="5"/>
        <v>0.99009900990099009</v>
      </c>
    </row>
    <row r="12" spans="1:29" s="1215" customFormat="1" ht="15">
      <c r="A12" s="2938"/>
      <c r="B12" s="2944">
        <v>111</v>
      </c>
      <c r="C12" s="526"/>
      <c r="D12" s="534">
        <v>100</v>
      </c>
      <c r="E12" s="526"/>
      <c r="F12" s="859">
        <f>SUMIF(70:70,E12,71:71)-SUMIF(70:70,C12,71:71)+100</f>
        <v>100</v>
      </c>
      <c r="G12" s="526"/>
      <c r="H12" s="250">
        <f>SUMIF(70:70,G12,71:71)-SUMIF(70:70,C12,71:71)+100</f>
        <v>100</v>
      </c>
      <c r="I12" s="526"/>
      <c r="J12" s="250">
        <f>SUMIF(70:70,I12,71:71)-SUMIF(70:70,C12,71:71)+100</f>
        <v>100</v>
      </c>
      <c r="K12" s="861"/>
      <c r="L12" s="2130"/>
      <c r="M12" s="2131"/>
      <c r="N12" s="2131"/>
      <c r="O12" s="2132"/>
      <c r="P12" s="3463"/>
      <c r="Q12" s="1146">
        <f t="shared" si="6"/>
        <v>111</v>
      </c>
      <c r="R12" s="1563" t="s">
        <v>11</v>
      </c>
      <c r="S12" s="1564">
        <f t="shared" si="0"/>
        <v>100</v>
      </c>
      <c r="T12" s="1563" t="s">
        <v>11</v>
      </c>
      <c r="U12" s="1564">
        <f t="shared" si="1"/>
        <v>100</v>
      </c>
      <c r="V12" s="1563" t="s">
        <v>11</v>
      </c>
      <c r="W12" s="1564">
        <f t="shared" si="2"/>
        <v>100</v>
      </c>
      <c r="X12" s="1565"/>
      <c r="Y12" s="3420"/>
      <c r="Z12" s="1145">
        <f t="shared" si="7"/>
        <v>111</v>
      </c>
      <c r="AA12" s="1566">
        <f>D12/F12</f>
        <v>1</v>
      </c>
      <c r="AB12" s="1566">
        <f>D12/H12</f>
        <v>1</v>
      </c>
      <c r="AC12" s="1566">
        <f>D12/J12</f>
        <v>1</v>
      </c>
    </row>
    <row r="13" spans="1:29" ht="15">
      <c r="A13" s="2938"/>
      <c r="B13" s="2944">
        <v>111</v>
      </c>
      <c r="C13" s="535"/>
      <c r="D13" s="536">
        <v>100</v>
      </c>
      <c r="E13" s="535"/>
      <c r="F13" s="859">
        <f>SUMIF(72:72,E13,73:73)-SUMIF(72:72,C13,73:73)+100</f>
        <v>100</v>
      </c>
      <c r="G13" s="535"/>
      <c r="H13" s="536">
        <f>SUMIF(72:72,G13,73:73)-SUMIF(72:72,C13,73:73)+100</f>
        <v>100</v>
      </c>
      <c r="I13" s="535"/>
      <c r="J13" s="536">
        <f>SUMIF(72:72,I13,73:73)-SUMIF(72:72,C13,73:73)+100</f>
        <v>100</v>
      </c>
      <c r="K13" s="861"/>
      <c r="L13" s="2137"/>
      <c r="M13" s="2129"/>
      <c r="N13" s="2129"/>
      <c r="O13" s="2136"/>
      <c r="P13" s="3463"/>
      <c r="Q13" s="1146">
        <f t="shared" si="6"/>
        <v>111</v>
      </c>
      <c r="R13" s="1563" t="s">
        <v>11</v>
      </c>
      <c r="S13" s="1564">
        <f t="shared" si="0"/>
        <v>100</v>
      </c>
      <c r="T13" s="1563" t="s">
        <v>11</v>
      </c>
      <c r="U13" s="1564">
        <f t="shared" si="1"/>
        <v>100</v>
      </c>
      <c r="V13" s="1563" t="s">
        <v>11</v>
      </c>
      <c r="W13" s="1564">
        <f t="shared" si="2"/>
        <v>100</v>
      </c>
      <c r="X13" s="1565"/>
      <c r="Y13" s="3420"/>
      <c r="Z13" s="1145">
        <f t="shared" si="7"/>
        <v>111</v>
      </c>
      <c r="AA13" s="1566">
        <f t="shared" si="3"/>
        <v>1</v>
      </c>
      <c r="AB13" s="1566">
        <f t="shared" si="4"/>
        <v>1</v>
      </c>
      <c r="AC13" s="1566">
        <f t="shared" si="5"/>
        <v>1</v>
      </c>
    </row>
    <row r="14" spans="1:29" ht="15.75" thickBot="1">
      <c r="A14" s="2939"/>
      <c r="B14" s="2945">
        <v>111</v>
      </c>
      <c r="C14" s="541"/>
      <c r="D14" s="542">
        <v>100</v>
      </c>
      <c r="E14" s="541"/>
      <c r="F14" s="862">
        <f>SUMIF(74:74,E14,75:75)-SUMIF(74:74,C14,75:75)+100</f>
        <v>100</v>
      </c>
      <c r="G14" s="541"/>
      <c r="H14" s="542">
        <f>SUMIF(74:74,G14,75:75)-SUMIF(74:74,C14,75:75)+100</f>
        <v>100</v>
      </c>
      <c r="I14" s="541"/>
      <c r="J14" s="542">
        <f>SUMIF(74:74,I14,75:75)-SUMIF(74:74,C14,75:75)+100</f>
        <v>100</v>
      </c>
      <c r="K14" s="861"/>
      <c r="L14" s="2137"/>
      <c r="M14" s="2129"/>
      <c r="N14" s="2129"/>
      <c r="O14" s="2136"/>
      <c r="P14" s="3463"/>
      <c r="Q14" s="1146">
        <f t="shared" si="6"/>
        <v>111</v>
      </c>
      <c r="R14" s="1563" t="s">
        <v>11</v>
      </c>
      <c r="S14" s="1564">
        <f t="shared" si="0"/>
        <v>100</v>
      </c>
      <c r="T14" s="1563" t="s">
        <v>11</v>
      </c>
      <c r="U14" s="1564">
        <f t="shared" si="1"/>
        <v>100</v>
      </c>
      <c r="V14" s="1563" t="s">
        <v>11</v>
      </c>
      <c r="W14" s="1564">
        <f t="shared" si="2"/>
        <v>100</v>
      </c>
      <c r="X14" s="1565"/>
      <c r="Y14" s="3420"/>
      <c r="Z14" s="1145">
        <f t="shared" si="7"/>
        <v>111</v>
      </c>
      <c r="AA14" s="1566">
        <f t="shared" si="3"/>
        <v>1</v>
      </c>
      <c r="AB14" s="1566">
        <f t="shared" si="4"/>
        <v>1</v>
      </c>
      <c r="AC14" s="1566">
        <f t="shared" si="5"/>
        <v>1</v>
      </c>
    </row>
    <row r="15" spans="1:29" ht="99.75">
      <c r="A15" s="2931" t="s">
        <v>2753</v>
      </c>
      <c r="B15" s="165" t="s">
        <v>288</v>
      </c>
      <c r="C15" s="863" t="str">
        <f>估价对象房地状况!C3</f>
        <v>估价对象周边居住用地比例较高、居住小区规模和社区发展完善程度较好，有丰盛园、长城公寓、天津公馆等项目，综合评价居住社区成熟度较好</v>
      </c>
      <c r="D15" s="545">
        <v>100</v>
      </c>
      <c r="E15" s="3164" t="s">
        <v>3265</v>
      </c>
      <c r="F15" s="547">
        <f>SUMIF(76:76,E16,77:77)-SUMIF(76:76,C16,77:77)+100</f>
        <v>100</v>
      </c>
      <c r="G15" s="3164" t="s">
        <v>3267</v>
      </c>
      <c r="H15" s="545">
        <f>SUMIF(76:76,G16,77:77)-SUMIF(76:76,C16,77:77)+100</f>
        <v>100</v>
      </c>
      <c r="I15" s="3164" t="s">
        <v>3269</v>
      </c>
      <c r="J15" s="545">
        <f>SUMIF(76:76,I16,77:77)-SUMIF(76:76,C16,77:77)+100</f>
        <v>100</v>
      </c>
      <c r="K15" s="864">
        <f>'比较法-住宅、综合'!K17</f>
        <v>5</v>
      </c>
      <c r="L15" s="2137"/>
      <c r="M15" s="2129"/>
      <c r="N15" s="2129"/>
      <c r="O15" s="2136"/>
      <c r="P15" s="3465" t="s">
        <v>534</v>
      </c>
      <c r="Q15" s="1567" t="str">
        <f t="shared" si="6"/>
        <v>居住社区成熟度</v>
      </c>
      <c r="R15" s="1568" t="s">
        <v>11</v>
      </c>
      <c r="S15" s="1569">
        <f t="shared" si="0"/>
        <v>100</v>
      </c>
      <c r="T15" s="1568" t="s">
        <v>11</v>
      </c>
      <c r="U15" s="1569">
        <f t="shared" si="1"/>
        <v>100</v>
      </c>
      <c r="V15" s="1568" t="s">
        <v>11</v>
      </c>
      <c r="W15" s="1569">
        <f t="shared" si="2"/>
        <v>100</v>
      </c>
      <c r="X15" s="1562"/>
      <c r="Y15" s="3465" t="s">
        <v>534</v>
      </c>
      <c r="Z15" s="1570" t="str">
        <f t="shared" si="7"/>
        <v>居住社区成熟度</v>
      </c>
      <c r="AA15" s="1571">
        <f t="shared" si="3"/>
        <v>1</v>
      </c>
      <c r="AB15" s="1571">
        <f t="shared" si="4"/>
        <v>1</v>
      </c>
      <c r="AC15" s="1571">
        <f t="shared" si="5"/>
        <v>1</v>
      </c>
    </row>
    <row r="16" spans="1:29" ht="15">
      <c r="A16" s="528"/>
      <c r="B16" s="865"/>
      <c r="C16" s="572" t="s">
        <v>3040</v>
      </c>
      <c r="D16" s="551"/>
      <c r="E16" s="552" t="s">
        <v>3040</v>
      </c>
      <c r="F16" s="553"/>
      <c r="G16" s="554" t="s">
        <v>3040</v>
      </c>
      <c r="H16" s="555"/>
      <c r="I16" s="552" t="s">
        <v>3040</v>
      </c>
      <c r="J16" s="551"/>
      <c r="K16" s="866"/>
      <c r="L16" s="2137"/>
      <c r="M16" s="2129"/>
      <c r="N16" s="2129"/>
      <c r="O16" s="2136"/>
      <c r="P16" s="3466"/>
      <c r="Q16" s="1567"/>
      <c r="R16" s="1568"/>
      <c r="S16" s="1569"/>
      <c r="T16" s="1568"/>
      <c r="U16" s="1569"/>
      <c r="V16" s="1568"/>
      <c r="W16" s="1569"/>
      <c r="X16" s="1562"/>
      <c r="Y16" s="3466"/>
      <c r="Z16" s="1570"/>
      <c r="AA16" s="1571">
        <v>1</v>
      </c>
      <c r="AB16" s="1571">
        <v>1</v>
      </c>
      <c r="AC16" s="1571">
        <v>1</v>
      </c>
    </row>
    <row r="17" spans="1:29" ht="111.75" customHeight="1">
      <c r="A17" s="528"/>
      <c r="B17" s="867" t="s">
        <v>289</v>
      </c>
      <c r="C17" s="868" t="str">
        <f>估价对象房地状况!C6</f>
        <v>估价对象周边1公里有92、840路等公交车及地铁1、9号线经过，公共交通通达情况较好、停车便捷程度较好，综合评价交通便捷度较好</v>
      </c>
      <c r="D17" s="555">
        <v>100</v>
      </c>
      <c r="E17" s="560" t="s">
        <v>3266</v>
      </c>
      <c r="F17" s="559">
        <f>SUMIF(78:78,E18,79:79)-SUMIF(78:78,C18,79:79)+100</f>
        <v>100</v>
      </c>
      <c r="G17" s="560" t="s">
        <v>3268</v>
      </c>
      <c r="H17" s="561">
        <f>SUMIF(78:78,G18,79:79)-SUMIF(78:78,C18,79:79)+100</f>
        <v>100</v>
      </c>
      <c r="I17" s="560" t="s">
        <v>3270</v>
      </c>
      <c r="J17" s="561">
        <f>SUMIF(78:78,I18,79:79)-SUMIF(78:78,C18,79:79)+100</f>
        <v>102</v>
      </c>
      <c r="K17" s="864">
        <f>'比较法-住宅、综合'!K23</f>
        <v>2</v>
      </c>
      <c r="L17" s="2137"/>
      <c r="M17" s="2129"/>
      <c r="N17" s="2129"/>
      <c r="O17" s="2136"/>
      <c r="P17" s="3466"/>
      <c r="Q17" s="1567" t="str">
        <f>B17</f>
        <v>交通便捷度</v>
      </c>
      <c r="R17" s="1568" t="s">
        <v>11</v>
      </c>
      <c r="S17" s="1569">
        <f>F17</f>
        <v>100</v>
      </c>
      <c r="T17" s="1568" t="s">
        <v>11</v>
      </c>
      <c r="U17" s="1569">
        <f>H17</f>
        <v>100</v>
      </c>
      <c r="V17" s="1568" t="s">
        <v>11</v>
      </c>
      <c r="W17" s="1569">
        <f>J17</f>
        <v>102</v>
      </c>
      <c r="X17" s="1562"/>
      <c r="Y17" s="3466"/>
      <c r="Z17" s="1570" t="str">
        <f>Q17</f>
        <v>交通便捷度</v>
      </c>
      <c r="AA17" s="1571">
        <f t="shared" si="3"/>
        <v>1</v>
      </c>
      <c r="AB17" s="1571">
        <f t="shared" si="4"/>
        <v>1</v>
      </c>
      <c r="AC17" s="1571">
        <f t="shared" si="5"/>
        <v>0.98039215686274506</v>
      </c>
    </row>
    <row r="18" spans="1:29" ht="15">
      <c r="A18" s="528"/>
      <c r="B18" s="591"/>
      <c r="C18" s="869" t="s">
        <v>3040</v>
      </c>
      <c r="D18" s="555"/>
      <c r="E18" s="564" t="s">
        <v>3040</v>
      </c>
      <c r="F18" s="559"/>
      <c r="G18" s="565" t="s">
        <v>3040</v>
      </c>
      <c r="H18" s="551"/>
      <c r="I18" s="564" t="s">
        <v>3231</v>
      </c>
      <c r="J18" s="551"/>
      <c r="K18" s="866"/>
      <c r="L18" s="2137"/>
      <c r="M18" s="2129"/>
      <c r="N18" s="2129"/>
      <c r="O18" s="2136"/>
      <c r="P18" s="3466"/>
      <c r="Q18" s="1567"/>
      <c r="R18" s="1568"/>
      <c r="S18" s="1569"/>
      <c r="T18" s="1568"/>
      <c r="U18" s="1569"/>
      <c r="V18" s="1568"/>
      <c r="W18" s="1569"/>
      <c r="X18" s="1562"/>
      <c r="Y18" s="3466"/>
      <c r="Z18" s="1570"/>
      <c r="AA18" s="1571">
        <v>1</v>
      </c>
      <c r="AB18" s="1571">
        <v>1</v>
      </c>
      <c r="AC18" s="1571">
        <v>1</v>
      </c>
    </row>
    <row r="19" spans="1:29" ht="42.75">
      <c r="A19" s="528"/>
      <c r="B19" s="2619" t="s">
        <v>2543</v>
      </c>
      <c r="C19" s="868" t="str">
        <f>估价对象房地状况!C7</f>
        <v>估价对象所在区域公共配套设施齐备情况一般</v>
      </c>
      <c r="D19" s="561">
        <v>100</v>
      </c>
      <c r="E19" s="566" t="s">
        <v>3034</v>
      </c>
      <c r="F19" s="567">
        <f>SUMIF(80:80,E20,81:81)-SUMIF(80:80,C20,81:81)+100</f>
        <v>100</v>
      </c>
      <c r="G19" s="3165" t="s">
        <v>3045</v>
      </c>
      <c r="H19" s="555">
        <f>SUMIF(80:80,G20,81:81)-SUMIF(80:80,C20,81:81)+100</f>
        <v>102</v>
      </c>
      <c r="I19" s="3165" t="s">
        <v>3045</v>
      </c>
      <c r="J19" s="555">
        <f>SUMIF(80:80,I20,81:81)-SUMIF(80:80,C20,81:81)+100</f>
        <v>102</v>
      </c>
      <c r="K19" s="864">
        <f>'比较法-住宅、综合'!K23</f>
        <v>2</v>
      </c>
      <c r="L19" s="2137"/>
      <c r="M19" s="2129"/>
      <c r="N19" s="2129"/>
      <c r="O19" s="2136"/>
      <c r="P19" s="3466"/>
      <c r="Q19" s="1567" t="str">
        <f>B19</f>
        <v>公共配套设施</v>
      </c>
      <c r="R19" s="1568" t="s">
        <v>11</v>
      </c>
      <c r="S19" s="1569">
        <f>F19</f>
        <v>100</v>
      </c>
      <c r="T19" s="1568" t="s">
        <v>11</v>
      </c>
      <c r="U19" s="1569">
        <f>H19</f>
        <v>102</v>
      </c>
      <c r="V19" s="1568" t="s">
        <v>11</v>
      </c>
      <c r="W19" s="1569">
        <f>J19</f>
        <v>102</v>
      </c>
      <c r="X19" s="1562"/>
      <c r="Y19" s="3466"/>
      <c r="Z19" s="1570" t="str">
        <f>Q19</f>
        <v>公共配套设施</v>
      </c>
      <c r="AA19" s="1571">
        <f t="shared" si="3"/>
        <v>1</v>
      </c>
      <c r="AB19" s="1571">
        <f t="shared" si="4"/>
        <v>0.98039215686274506</v>
      </c>
      <c r="AC19" s="1571">
        <f t="shared" si="5"/>
        <v>0.98039215686274506</v>
      </c>
    </row>
    <row r="20" spans="1:29" ht="15">
      <c r="A20" s="528"/>
      <c r="B20" s="591"/>
      <c r="C20" s="572" t="s">
        <v>3039</v>
      </c>
      <c r="D20" s="551"/>
      <c r="E20" s="572" t="s">
        <v>3039</v>
      </c>
      <c r="F20" s="553"/>
      <c r="G20" s="572" t="s">
        <v>3040</v>
      </c>
      <c r="H20" s="551"/>
      <c r="I20" s="552" t="s">
        <v>3040</v>
      </c>
      <c r="J20" s="551"/>
      <c r="K20" s="866"/>
      <c r="L20" s="2137"/>
      <c r="M20" s="2129"/>
      <c r="N20" s="2129"/>
      <c r="O20" s="2136"/>
      <c r="P20" s="3466"/>
      <c r="Q20" s="1567"/>
      <c r="R20" s="1568"/>
      <c r="S20" s="1569"/>
      <c r="T20" s="1568"/>
      <c r="U20" s="1569"/>
      <c r="V20" s="1568"/>
      <c r="W20" s="1569"/>
      <c r="X20" s="1562"/>
      <c r="Y20" s="3466"/>
      <c r="Z20" s="1570"/>
      <c r="AA20" s="1571">
        <v>1</v>
      </c>
      <c r="AB20" s="1571">
        <v>1</v>
      </c>
      <c r="AC20" s="1571">
        <v>1</v>
      </c>
    </row>
    <row r="21" spans="1:29" ht="28.5">
      <c r="A21" s="528"/>
      <c r="B21" s="2612" t="s">
        <v>2555</v>
      </c>
      <c r="C21" s="868" t="str">
        <f>估价对象房地状况!C8</f>
        <v>估价对象所在区域基础设施水平-六通</v>
      </c>
      <c r="D21" s="561">
        <v>100</v>
      </c>
      <c r="E21" s="568"/>
      <c r="F21" s="567">
        <f>SUMIF(82:82,E22,83:83)-SUMIF(82:82,C22,83:83)+100</f>
        <v>100</v>
      </c>
      <c r="G21" s="568"/>
      <c r="H21" s="561">
        <f>SUMIF(82:82,G22,83:83)-SUMIF(82:82,C22,83:83)+100</f>
        <v>100</v>
      </c>
      <c r="I21" s="566"/>
      <c r="J21" s="561">
        <f>SUMIF(82:82,I22,83:83)-SUMIF(82:82,C22,83:83)+100</f>
        <v>100</v>
      </c>
      <c r="K21" s="864">
        <f>'比较法-住宅、综合'!K31</f>
        <v>1</v>
      </c>
      <c r="L21" s="2137"/>
      <c r="M21" s="2129"/>
      <c r="N21" s="2129"/>
      <c r="O21" s="2136"/>
      <c r="P21" s="3466"/>
      <c r="Q21" s="2598" t="str">
        <f>B21</f>
        <v>基础设施水平</v>
      </c>
      <c r="R21" s="1568" t="s">
        <v>11</v>
      </c>
      <c r="S21" s="1569">
        <f>F21</f>
        <v>100</v>
      </c>
      <c r="T21" s="1568" t="s">
        <v>11</v>
      </c>
      <c r="U21" s="1569">
        <f>H21</f>
        <v>100</v>
      </c>
      <c r="V21" s="1568" t="s">
        <v>11</v>
      </c>
      <c r="W21" s="1569">
        <f>J21</f>
        <v>100</v>
      </c>
      <c r="X21" s="2600"/>
      <c r="Y21" s="3466"/>
      <c r="Z21" s="2599" t="str">
        <f>Q21</f>
        <v>基础设施水平</v>
      </c>
      <c r="AA21" s="1571">
        <f t="shared" ref="AA21" si="8">D21/F21</f>
        <v>1</v>
      </c>
      <c r="AB21" s="1571">
        <f t="shared" ref="AB21" si="9">D21/H21</f>
        <v>1</v>
      </c>
      <c r="AC21" s="1571">
        <f t="shared" ref="AC21" si="10">D21/J21</f>
        <v>1</v>
      </c>
    </row>
    <row r="22" spans="1:29" ht="15">
      <c r="A22" s="528"/>
      <c r="B22" s="917"/>
      <c r="C22" s="869" t="s">
        <v>3211</v>
      </c>
      <c r="D22" s="551"/>
      <c r="E22" s="869" t="s">
        <v>3211</v>
      </c>
      <c r="F22" s="553"/>
      <c r="G22" s="869" t="s">
        <v>3211</v>
      </c>
      <c r="H22" s="551"/>
      <c r="I22" s="869" t="s">
        <v>3211</v>
      </c>
      <c r="J22" s="551"/>
      <c r="K22" s="2618"/>
      <c r="L22" s="2137"/>
      <c r="M22" s="2129"/>
      <c r="N22" s="2129"/>
      <c r="O22" s="2136"/>
      <c r="P22" s="3466"/>
      <c r="Q22" s="2598"/>
      <c r="R22" s="1568"/>
      <c r="S22" s="1569"/>
      <c r="T22" s="1568"/>
      <c r="U22" s="1569"/>
      <c r="V22" s="1568"/>
      <c r="W22" s="1569"/>
      <c r="X22" s="2600"/>
      <c r="Y22" s="3466"/>
      <c r="Z22" s="2599"/>
      <c r="AA22" s="1571">
        <v>1</v>
      </c>
      <c r="AB22" s="1571">
        <v>1</v>
      </c>
      <c r="AC22" s="1571">
        <v>1</v>
      </c>
    </row>
    <row r="23" spans="1:29" ht="28.5">
      <c r="A23" s="528"/>
      <c r="B23" s="867" t="s">
        <v>290</v>
      </c>
      <c r="C23" s="868" t="str">
        <f>估价对象房地状况!C9</f>
        <v>周边2公里内区域自然环境较好</v>
      </c>
      <c r="D23" s="555">
        <v>100</v>
      </c>
      <c r="E23" s="558" t="s">
        <v>3043</v>
      </c>
      <c r="F23" s="559">
        <f>SUMIF(84:84,E24,85:85)-SUMIF(84:84,C24,85:85)+100</f>
        <v>98</v>
      </c>
      <c r="G23" s="560" t="s">
        <v>3044</v>
      </c>
      <c r="H23" s="555">
        <f>SUMIF(84:84,G24,85:85)-SUMIF(84:84,C24,85:85)+100</f>
        <v>100</v>
      </c>
      <c r="I23" s="560" t="s">
        <v>3044</v>
      </c>
      <c r="J23" s="555">
        <f>SUMIF(84:84,I24,85:85)-SUMIF(84:84,C24,85:85)+100</f>
        <v>100</v>
      </c>
      <c r="K23" s="864">
        <f>'比较法-住宅、综合'!K27</f>
        <v>2</v>
      </c>
      <c r="L23" s="2137"/>
      <c r="M23" s="2129"/>
      <c r="N23" s="2129"/>
      <c r="O23" s="2136"/>
      <c r="P23" s="3466"/>
      <c r="Q23" s="1567" t="str">
        <f>B23</f>
        <v>自然及人文环境</v>
      </c>
      <c r="R23" s="1568" t="s">
        <v>11</v>
      </c>
      <c r="S23" s="1569">
        <f>F23</f>
        <v>98</v>
      </c>
      <c r="T23" s="1568" t="s">
        <v>11</v>
      </c>
      <c r="U23" s="1569">
        <f>H23</f>
        <v>100</v>
      </c>
      <c r="V23" s="1568" t="s">
        <v>11</v>
      </c>
      <c r="W23" s="1569">
        <f>J23</f>
        <v>100</v>
      </c>
      <c r="X23" s="1562"/>
      <c r="Y23" s="3466"/>
      <c r="Z23" s="1570" t="str">
        <f>Q23</f>
        <v>自然及人文环境</v>
      </c>
      <c r="AA23" s="1571">
        <f t="shared" si="3"/>
        <v>1.0204081632653061</v>
      </c>
      <c r="AB23" s="1571">
        <f t="shared" si="4"/>
        <v>1</v>
      </c>
      <c r="AC23" s="1571">
        <f t="shared" si="5"/>
        <v>1</v>
      </c>
    </row>
    <row r="24" spans="1:29" ht="15">
      <c r="A24" s="528"/>
      <c r="B24" s="591"/>
      <c r="C24" s="572" t="s">
        <v>3040</v>
      </c>
      <c r="D24" s="551"/>
      <c r="E24" s="572" t="s">
        <v>3039</v>
      </c>
      <c r="F24" s="553"/>
      <c r="G24" s="552" t="s">
        <v>3040</v>
      </c>
      <c r="H24" s="551"/>
      <c r="I24" s="552" t="s">
        <v>3040</v>
      </c>
      <c r="J24" s="551"/>
      <c r="K24" s="866"/>
      <c r="L24" s="2137"/>
      <c r="M24" s="2129"/>
      <c r="N24" s="2129"/>
      <c r="O24" s="2136"/>
      <c r="P24" s="3466"/>
      <c r="Q24" s="1567"/>
      <c r="R24" s="1568"/>
      <c r="S24" s="1569"/>
      <c r="T24" s="1568"/>
      <c r="U24" s="1569"/>
      <c r="V24" s="1568"/>
      <c r="W24" s="1569"/>
      <c r="X24" s="1562"/>
      <c r="Y24" s="3466"/>
      <c r="Z24" s="1570"/>
      <c r="AA24" s="1571">
        <v>1</v>
      </c>
      <c r="AB24" s="1571">
        <v>1</v>
      </c>
      <c r="AC24" s="1571">
        <v>1</v>
      </c>
    </row>
    <row r="25" spans="1:29" ht="15">
      <c r="A25" s="528"/>
      <c r="B25" s="1890" t="s">
        <v>2251</v>
      </c>
      <c r="C25" s="570"/>
      <c r="D25" s="536">
        <v>100</v>
      </c>
      <c r="E25" s="870"/>
      <c r="F25" s="571">
        <f>SUMIF(86:86,E25,87:87)-SUMIF(86:86,C25,87:87)+100</f>
        <v>100</v>
      </c>
      <c r="G25" s="595"/>
      <c r="H25" s="536">
        <f>SUMIF(86:86,G25,87:87)-SUMIF(86:86,C25,87:87)+100</f>
        <v>100</v>
      </c>
      <c r="I25" s="870"/>
      <c r="J25" s="536">
        <f>SUMIF(86:86,I25,87:87)-SUMIF(86:86,C25,87:87)+100</f>
        <v>100</v>
      </c>
      <c r="K25" s="860"/>
      <c r="L25" s="2137"/>
      <c r="M25" s="2129"/>
      <c r="N25" s="2129"/>
      <c r="O25" s="2136"/>
      <c r="P25" s="3466"/>
      <c r="Q25" s="1567" t="str">
        <f t="shared" ref="Q25:Q46" si="11">B25</f>
        <v>楼层-1</v>
      </c>
      <c r="R25" s="1568" t="s">
        <v>11</v>
      </c>
      <c r="S25" s="1569">
        <f>F25</f>
        <v>100</v>
      </c>
      <c r="T25" s="1568" t="s">
        <v>11</v>
      </c>
      <c r="U25" s="1569">
        <f>H25</f>
        <v>100</v>
      </c>
      <c r="V25" s="1568" t="s">
        <v>11</v>
      </c>
      <c r="W25" s="1569">
        <f>J25</f>
        <v>100</v>
      </c>
      <c r="X25" s="1562"/>
      <c r="Y25" s="3466"/>
      <c r="Z25" s="1570" t="str">
        <f>Q25</f>
        <v>楼层-1</v>
      </c>
      <c r="AA25" s="1571">
        <f t="shared" si="3"/>
        <v>1</v>
      </c>
      <c r="AB25" s="1571">
        <f t="shared" si="4"/>
        <v>1</v>
      </c>
      <c r="AC25" s="1571">
        <f t="shared" si="5"/>
        <v>1</v>
      </c>
    </row>
    <row r="26" spans="1:29" ht="15">
      <c r="A26" s="528"/>
      <c r="B26" s="525" t="s">
        <v>717</v>
      </c>
      <c r="C26" s="570"/>
      <c r="D26" s="536">
        <v>100</v>
      </c>
      <c r="E26" s="870"/>
      <c r="F26" s="571">
        <f>SUMIF(88:88,E26,89:89)-SUMIF(88:88,C26,89:89)+100</f>
        <v>100</v>
      </c>
      <c r="G26" s="595"/>
      <c r="H26" s="536">
        <f>SUMIF(88:88,G26,89:89)-SUMIF(88:88,C26,89:89)+100</f>
        <v>100</v>
      </c>
      <c r="I26" s="870"/>
      <c r="J26" s="536">
        <f>SUMIF(88:88,I26,89:89)-SUMIF(88:88,C26,89:89)+100</f>
        <v>100</v>
      </c>
      <c r="K26" s="860"/>
      <c r="L26" s="2137"/>
      <c r="M26" s="2129"/>
      <c r="N26" s="2129"/>
      <c r="O26" s="2136"/>
      <c r="P26" s="3466"/>
      <c r="Q26" s="1567" t="str">
        <f t="shared" si="11"/>
        <v>朝向</v>
      </c>
      <c r="R26" s="1568" t="s">
        <v>11</v>
      </c>
      <c r="S26" s="1569">
        <f>F26</f>
        <v>100</v>
      </c>
      <c r="T26" s="1568" t="s">
        <v>11</v>
      </c>
      <c r="U26" s="1569">
        <f>H26</f>
        <v>100</v>
      </c>
      <c r="V26" s="1568" t="s">
        <v>11</v>
      </c>
      <c r="W26" s="1569">
        <f>J26</f>
        <v>100</v>
      </c>
      <c r="X26" s="1562"/>
      <c r="Y26" s="3466"/>
      <c r="Z26" s="1570" t="str">
        <f>Q26</f>
        <v>朝向</v>
      </c>
      <c r="AA26" s="1571">
        <f t="shared" si="3"/>
        <v>1</v>
      </c>
      <c r="AB26" s="1571">
        <f t="shared" si="4"/>
        <v>1</v>
      </c>
      <c r="AC26" s="1571">
        <f t="shared" si="5"/>
        <v>1</v>
      </c>
    </row>
    <row r="27" spans="1:29" s="1215" customFormat="1" ht="15">
      <c r="A27" s="532"/>
      <c r="B27" s="533" t="s">
        <v>718</v>
      </c>
      <c r="C27" s="526" t="str">
        <f>'比较法-住宅、综合'!C35</f>
        <v>次干道</v>
      </c>
      <c r="D27" s="871">
        <v>100</v>
      </c>
      <c r="E27" s="526" t="str">
        <f>'比较法-住宅、综合'!E35</f>
        <v>主干道</v>
      </c>
      <c r="F27" s="872">
        <f>SUMIF(90:90,E27,91:91)-SUMIF(90:90,C27,91:91)+100</f>
        <v>101</v>
      </c>
      <c r="G27" s="3168" t="s">
        <v>3072</v>
      </c>
      <c r="H27" s="871">
        <f>SUMIF(90:90,G27,91:91)-SUMIF(90:90,C27,91:91)+100</f>
        <v>100</v>
      </c>
      <c r="I27" s="526" t="str">
        <f>'比较法-住宅、综合'!I35</f>
        <v>主干道</v>
      </c>
      <c r="J27" s="871">
        <f>SUMIF(90:90,I27,91:91)-SUMIF(90:90,C27,91:91)+100</f>
        <v>101</v>
      </c>
      <c r="K27" s="861"/>
      <c r="L27" s="2130"/>
      <c r="M27" s="2131"/>
      <c r="N27" s="2131"/>
      <c r="O27" s="2132"/>
      <c r="P27" s="3466"/>
      <c r="Q27" s="1146" t="str">
        <f t="shared" si="11"/>
        <v>道路级别</v>
      </c>
      <c r="R27" s="1563" t="s">
        <v>11</v>
      </c>
      <c r="S27" s="1564">
        <f>F27</f>
        <v>101</v>
      </c>
      <c r="T27" s="1563" t="s">
        <v>11</v>
      </c>
      <c r="U27" s="1564">
        <f>H27</f>
        <v>100</v>
      </c>
      <c r="V27" s="1563" t="s">
        <v>11</v>
      </c>
      <c r="W27" s="1564">
        <f>J27</f>
        <v>101</v>
      </c>
      <c r="X27" s="1565"/>
      <c r="Y27" s="3466"/>
      <c r="Z27" s="1145" t="str">
        <f>Q27</f>
        <v>道路级别</v>
      </c>
      <c r="AA27" s="1571">
        <f>D27/F27</f>
        <v>0.99009900990099009</v>
      </c>
      <c r="AB27" s="1571">
        <f>D27/H27</f>
        <v>1</v>
      </c>
      <c r="AC27" s="1571">
        <f>D27/J27</f>
        <v>0.99009900990099009</v>
      </c>
    </row>
    <row r="28" spans="1:29" ht="15">
      <c r="A28" s="528"/>
      <c r="B28" s="873">
        <v>111</v>
      </c>
      <c r="C28" s="535"/>
      <c r="D28" s="536">
        <v>100</v>
      </c>
      <c r="E28" s="535"/>
      <c r="F28" s="571">
        <f>SUMIF(92:92,E28,93:93)-SUMIF(92:92,C28,93:93)+100</f>
        <v>100</v>
      </c>
      <c r="G28" s="535"/>
      <c r="H28" s="536">
        <f>SUMIF(92:92,G28,93:93)-SUMIF(92:92,C28,93:93)+100</f>
        <v>100</v>
      </c>
      <c r="I28" s="535"/>
      <c r="J28" s="536">
        <f>SUMIF(92:92,I28,93:93)-SUMIF(92:92,C28,93:93)+100</f>
        <v>100</v>
      </c>
      <c r="K28" s="861"/>
      <c r="L28" s="2137"/>
      <c r="M28" s="2129"/>
      <c r="N28" s="2129"/>
      <c r="O28" s="2136"/>
      <c r="P28" s="3466"/>
      <c r="Q28" s="1567">
        <f t="shared" si="11"/>
        <v>111</v>
      </c>
      <c r="R28" s="1568" t="s">
        <v>11</v>
      </c>
      <c r="S28" s="1569">
        <f t="shared" ref="S28:S46" si="12">F28</f>
        <v>100</v>
      </c>
      <c r="T28" s="1568" t="s">
        <v>11</v>
      </c>
      <c r="U28" s="1569">
        <f t="shared" ref="U28:U46" si="13">H28</f>
        <v>100</v>
      </c>
      <c r="V28" s="1568" t="s">
        <v>11</v>
      </c>
      <c r="W28" s="1569">
        <f t="shared" ref="W28:W46" si="14">J28</f>
        <v>100</v>
      </c>
      <c r="X28" s="1562"/>
      <c r="Y28" s="3466"/>
      <c r="Z28" s="1570">
        <f t="shared" ref="Z28:Z46" si="15">Q28</f>
        <v>111</v>
      </c>
      <c r="AA28" s="1571">
        <f t="shared" si="3"/>
        <v>1</v>
      </c>
      <c r="AB28" s="1571">
        <f t="shared" si="4"/>
        <v>1</v>
      </c>
      <c r="AC28" s="1571">
        <f t="shared" si="5"/>
        <v>1</v>
      </c>
    </row>
    <row r="29" spans="1:29" ht="15">
      <c r="A29" s="528"/>
      <c r="B29" s="873">
        <v>111</v>
      </c>
      <c r="C29" s="535"/>
      <c r="D29" s="536">
        <v>100</v>
      </c>
      <c r="E29" s="535"/>
      <c r="F29" s="571">
        <f>SUMIF(94:94,E29,95:95)-SUMIF(94:94,C29,95:95)+100</f>
        <v>100</v>
      </c>
      <c r="G29" s="535"/>
      <c r="H29" s="536">
        <f>SUMIF(94:94,G29,95:95)-SUMIF(94:94,C29,95:95)+100</f>
        <v>100</v>
      </c>
      <c r="I29" s="535"/>
      <c r="J29" s="536">
        <f>SUMIF(94:94,I29,95:95)-SUMIF(94:94,C29,95:95)+100</f>
        <v>100</v>
      </c>
      <c r="K29" s="861"/>
      <c r="L29" s="2137"/>
      <c r="M29" s="2129"/>
      <c r="N29" s="2129"/>
      <c r="O29" s="2136"/>
      <c r="P29" s="3466"/>
      <c r="Q29" s="1567">
        <f t="shared" si="11"/>
        <v>111</v>
      </c>
      <c r="R29" s="1568" t="s">
        <v>11</v>
      </c>
      <c r="S29" s="1569">
        <f t="shared" si="12"/>
        <v>100</v>
      </c>
      <c r="T29" s="1568" t="s">
        <v>11</v>
      </c>
      <c r="U29" s="1569">
        <f t="shared" si="13"/>
        <v>100</v>
      </c>
      <c r="V29" s="1568" t="s">
        <v>11</v>
      </c>
      <c r="W29" s="1569">
        <f t="shared" si="14"/>
        <v>100</v>
      </c>
      <c r="X29" s="1562"/>
      <c r="Y29" s="3466"/>
      <c r="Z29" s="1570">
        <f t="shared" si="15"/>
        <v>111</v>
      </c>
      <c r="AA29" s="1571">
        <f t="shared" si="3"/>
        <v>1</v>
      </c>
      <c r="AB29" s="1571">
        <f t="shared" si="4"/>
        <v>1</v>
      </c>
      <c r="AC29" s="1571">
        <f t="shared" si="5"/>
        <v>1</v>
      </c>
    </row>
    <row r="30" spans="1:29" ht="15">
      <c r="A30" s="528"/>
      <c r="B30" s="873">
        <v>111</v>
      </c>
      <c r="C30" s="535"/>
      <c r="D30" s="536">
        <v>100</v>
      </c>
      <c r="E30" s="535"/>
      <c r="F30" s="571">
        <f>SUMIF(96:96,E30,97:97)-SUMIF(96:96,C30,97:97)+100</f>
        <v>100</v>
      </c>
      <c r="G30" s="535"/>
      <c r="H30" s="536">
        <f>SUMIF(96:96,G30,97:97)-SUMIF(96:96,C30,97:97)+100</f>
        <v>100</v>
      </c>
      <c r="I30" s="535"/>
      <c r="J30" s="536">
        <f>SUMIF(96:96,I30,97:97)-SUMIF(96:96,C30,97:97)+100</f>
        <v>100</v>
      </c>
      <c r="K30" s="861"/>
      <c r="L30" s="2137"/>
      <c r="M30" s="2129"/>
      <c r="N30" s="2129"/>
      <c r="O30" s="2136"/>
      <c r="P30" s="3466"/>
      <c r="Q30" s="1567">
        <f t="shared" si="11"/>
        <v>111</v>
      </c>
      <c r="R30" s="1568" t="s">
        <v>11</v>
      </c>
      <c r="S30" s="1569">
        <f t="shared" si="12"/>
        <v>100</v>
      </c>
      <c r="T30" s="1568" t="s">
        <v>11</v>
      </c>
      <c r="U30" s="1569">
        <f t="shared" si="13"/>
        <v>100</v>
      </c>
      <c r="V30" s="1568" t="s">
        <v>11</v>
      </c>
      <c r="W30" s="1569">
        <f t="shared" si="14"/>
        <v>100</v>
      </c>
      <c r="X30" s="1562"/>
      <c r="Y30" s="3466"/>
      <c r="Z30" s="1570">
        <f t="shared" si="15"/>
        <v>111</v>
      </c>
      <c r="AA30" s="1571">
        <f t="shared" si="3"/>
        <v>1</v>
      </c>
      <c r="AB30" s="1571">
        <f t="shared" si="4"/>
        <v>1</v>
      </c>
      <c r="AC30" s="1571">
        <f t="shared" si="5"/>
        <v>1</v>
      </c>
    </row>
    <row r="31" spans="1:29" ht="15.75" thickBot="1">
      <c r="A31" s="539"/>
      <c r="B31" s="873">
        <v>111</v>
      </c>
      <c r="C31" s="541"/>
      <c r="D31" s="542">
        <v>100</v>
      </c>
      <c r="E31" s="541"/>
      <c r="F31" s="862">
        <f>SUMIF(98:98,E31,99:99)-SUMIF(98:98,C31,99:99)+100</f>
        <v>100</v>
      </c>
      <c r="G31" s="541"/>
      <c r="H31" s="542">
        <f>SUMIF(98:98,G31,99:99)-SUMIF(98:98,C31,99:99)+100</f>
        <v>100</v>
      </c>
      <c r="I31" s="541"/>
      <c r="J31" s="542">
        <f>SUMIF(98:98,I31,99:99)-SUMIF(98:98,C31,99:99)+100</f>
        <v>100</v>
      </c>
      <c r="K31" s="861"/>
      <c r="L31" s="2137"/>
      <c r="M31" s="2129"/>
      <c r="N31" s="2129"/>
      <c r="O31" s="2136"/>
      <c r="P31" s="3466"/>
      <c r="Q31" s="1567">
        <f t="shared" si="11"/>
        <v>111</v>
      </c>
      <c r="R31" s="1568" t="s">
        <v>11</v>
      </c>
      <c r="S31" s="1569">
        <f t="shared" si="12"/>
        <v>100</v>
      </c>
      <c r="T31" s="1568" t="s">
        <v>11</v>
      </c>
      <c r="U31" s="1569">
        <f t="shared" si="13"/>
        <v>100</v>
      </c>
      <c r="V31" s="1568" t="s">
        <v>11</v>
      </c>
      <c r="W31" s="1569">
        <f t="shared" si="14"/>
        <v>100</v>
      </c>
      <c r="X31" s="1562"/>
      <c r="Y31" s="3466"/>
      <c r="Z31" s="1570">
        <f t="shared" si="15"/>
        <v>111</v>
      </c>
      <c r="AA31" s="1571">
        <f t="shared" si="3"/>
        <v>1</v>
      </c>
      <c r="AB31" s="1571">
        <f t="shared" si="4"/>
        <v>1</v>
      </c>
      <c r="AC31" s="1571">
        <f t="shared" si="5"/>
        <v>1</v>
      </c>
    </row>
    <row r="32" spans="1:29" ht="15">
      <c r="A32" s="2928" t="s">
        <v>2754</v>
      </c>
      <c r="B32" s="171" t="s">
        <v>719</v>
      </c>
      <c r="C32" s="874" t="s">
        <v>3049</v>
      </c>
      <c r="D32" s="593">
        <v>100</v>
      </c>
      <c r="E32" s="874" t="s">
        <v>3049</v>
      </c>
      <c r="F32" s="571">
        <f>SUMIF(100:100,E32,101:101)-SUMIF(100:100,C32,101:101)+100</f>
        <v>100</v>
      </c>
      <c r="G32" s="874" t="s">
        <v>3049</v>
      </c>
      <c r="H32" s="593">
        <f>SUMIF(100:100,G32,101:101)-SUMIF(100:100,C32,101:101)+100</f>
        <v>100</v>
      </c>
      <c r="I32" s="874" t="s">
        <v>3049</v>
      </c>
      <c r="J32" s="536">
        <f>SUMIF(100:100,I32,101:101)-SUMIF(100:100,C32,101:101)+100</f>
        <v>100</v>
      </c>
      <c r="K32" s="860">
        <v>5</v>
      </c>
      <c r="L32" s="2137"/>
      <c r="M32" s="2129"/>
      <c r="N32" s="2129"/>
      <c r="O32" s="2136"/>
      <c r="P32" s="3467" t="s">
        <v>544</v>
      </c>
      <c r="Q32" s="1567" t="str">
        <f t="shared" si="11"/>
        <v>建筑类型</v>
      </c>
      <c r="R32" s="1568" t="s">
        <v>11</v>
      </c>
      <c r="S32" s="1569">
        <f t="shared" si="12"/>
        <v>100</v>
      </c>
      <c r="T32" s="1568" t="s">
        <v>11</v>
      </c>
      <c r="U32" s="1569">
        <f t="shared" si="13"/>
        <v>100</v>
      </c>
      <c r="V32" s="1568" t="s">
        <v>11</v>
      </c>
      <c r="W32" s="1569">
        <f t="shared" si="14"/>
        <v>100</v>
      </c>
      <c r="X32" s="1562"/>
      <c r="Y32" s="3468" t="s">
        <v>544</v>
      </c>
      <c r="Z32" s="1570" t="str">
        <f t="shared" si="15"/>
        <v>建筑类型</v>
      </c>
      <c r="AA32" s="1571">
        <f t="shared" si="3"/>
        <v>1</v>
      </c>
      <c r="AB32" s="1571">
        <f t="shared" si="4"/>
        <v>1</v>
      </c>
      <c r="AC32" s="1571">
        <f t="shared" si="5"/>
        <v>1</v>
      </c>
    </row>
    <row r="33" spans="1:29" s="1334" customFormat="1" ht="15">
      <c r="A33" s="599"/>
      <c r="B33" s="525" t="s">
        <v>720</v>
      </c>
      <c r="C33" s="875">
        <f>'数据-汇总表'!E3</f>
        <v>412759.99</v>
      </c>
      <c r="D33" s="250">
        <v>100</v>
      </c>
      <c r="E33" s="530">
        <v>470000</v>
      </c>
      <c r="F33" s="859">
        <f>LOOKUP(E33,103:103,104:104)-LOOKUP(C33,103:103,104:104)+100</f>
        <v>100</v>
      </c>
      <c r="G33" s="529">
        <v>204250</v>
      </c>
      <c r="H33" s="250">
        <f>LOOKUP(G33,103:103,104:104)-LOOKUP(C33,103:103,104:104)+100</f>
        <v>98</v>
      </c>
      <c r="I33" s="530">
        <v>520000</v>
      </c>
      <c r="J33" s="250">
        <f>LOOKUP(I33,103:103,104:104)-LOOKUP(C33,103:103,104:104)+100</f>
        <v>101</v>
      </c>
      <c r="K33" s="861"/>
      <c r="L33" s="2135"/>
      <c r="M33" s="2166"/>
      <c r="N33" s="2166"/>
      <c r="O33" s="2138"/>
      <c r="P33" s="3468"/>
      <c r="Q33" s="1600" t="str">
        <f t="shared" si="11"/>
        <v>项目建筑规模</v>
      </c>
      <c r="R33" s="1572" t="s">
        <v>11</v>
      </c>
      <c r="S33" s="1573">
        <f t="shared" si="12"/>
        <v>100</v>
      </c>
      <c r="T33" s="1572" t="s">
        <v>11</v>
      </c>
      <c r="U33" s="1573">
        <f t="shared" si="13"/>
        <v>98</v>
      </c>
      <c r="V33" s="1572" t="s">
        <v>11</v>
      </c>
      <c r="W33" s="1573">
        <f t="shared" si="14"/>
        <v>101</v>
      </c>
      <c r="X33" s="1574"/>
      <c r="Y33" s="3468"/>
      <c r="Z33" s="1575" t="str">
        <f t="shared" si="15"/>
        <v>项目建筑规模</v>
      </c>
      <c r="AA33" s="1571">
        <f t="shared" si="3"/>
        <v>1</v>
      </c>
      <c r="AB33" s="1571">
        <f t="shared" si="4"/>
        <v>1.0204081632653061</v>
      </c>
      <c r="AC33" s="1571">
        <f t="shared" si="5"/>
        <v>0.99009900990099009</v>
      </c>
    </row>
    <row r="34" spans="1:29" ht="15">
      <c r="A34" s="590"/>
      <c r="B34" s="525" t="s">
        <v>721</v>
      </c>
      <c r="C34" s="876" t="s">
        <v>3005</v>
      </c>
      <c r="D34" s="536">
        <v>100</v>
      </c>
      <c r="E34" s="876" t="s">
        <v>3005</v>
      </c>
      <c r="F34" s="571">
        <f>SUMIF(105:105,E34,106:106)-SUMIF(105:105,C34,106:106)+100</f>
        <v>100</v>
      </c>
      <c r="G34" s="876" t="s">
        <v>3005</v>
      </c>
      <c r="H34" s="536">
        <f>SUMIF(105:105,G34,106:106)-SUMIF(105:105,C34,106:106)+100</f>
        <v>100</v>
      </c>
      <c r="I34" s="877" t="s">
        <v>3005</v>
      </c>
      <c r="J34" s="536">
        <f>SUMIF(105:105,I34,106:106)-SUMIF(105:105,C34,106:106)+100</f>
        <v>100</v>
      </c>
      <c r="K34" s="860">
        <v>1</v>
      </c>
      <c r="L34" s="2137"/>
      <c r="M34" s="2129"/>
      <c r="N34" s="2129"/>
      <c r="O34" s="2136"/>
      <c r="P34" s="3468"/>
      <c r="Q34" s="1567" t="str">
        <f t="shared" si="11"/>
        <v>建筑结构</v>
      </c>
      <c r="R34" s="1568" t="s">
        <v>11</v>
      </c>
      <c r="S34" s="1569">
        <f t="shared" si="12"/>
        <v>100</v>
      </c>
      <c r="T34" s="1568" t="s">
        <v>11</v>
      </c>
      <c r="U34" s="1569">
        <f t="shared" si="13"/>
        <v>100</v>
      </c>
      <c r="V34" s="1568" t="s">
        <v>11</v>
      </c>
      <c r="W34" s="1569">
        <f t="shared" si="14"/>
        <v>100</v>
      </c>
      <c r="X34" s="1562"/>
      <c r="Y34" s="3468"/>
      <c r="Z34" s="1570" t="str">
        <f t="shared" si="15"/>
        <v>建筑结构</v>
      </c>
      <c r="AA34" s="1571">
        <f t="shared" si="3"/>
        <v>1</v>
      </c>
      <c r="AB34" s="1571">
        <f t="shared" si="4"/>
        <v>1</v>
      </c>
      <c r="AC34" s="1571">
        <f t="shared" si="5"/>
        <v>1</v>
      </c>
    </row>
    <row r="35" spans="1:29" ht="15">
      <c r="A35" s="590"/>
      <c r="B35" s="525" t="s">
        <v>722</v>
      </c>
      <c r="C35" s="595"/>
      <c r="D35" s="536">
        <v>100</v>
      </c>
      <c r="E35" s="870"/>
      <c r="F35" s="571">
        <f>SUMIF(107:107,E35,108:108)-SUMIF(107:107,C35,108:108)+100</f>
        <v>100</v>
      </c>
      <c r="G35" s="595"/>
      <c r="H35" s="536">
        <f>SUMIF(107:107,G35,108:108)-SUMIF(107:107,C35,108:108)+100</f>
        <v>100</v>
      </c>
      <c r="I35" s="870"/>
      <c r="J35" s="536">
        <f>SUMIF(107:107,I35,108:108)-SUMIF(107:107,C35,108:108)+100</f>
        <v>100</v>
      </c>
      <c r="K35" s="860"/>
      <c r="L35" s="2137"/>
      <c r="M35" s="2129"/>
      <c r="N35" s="2129"/>
      <c r="O35" s="2136"/>
      <c r="P35" s="3468"/>
      <c r="Q35" s="1567" t="str">
        <f t="shared" si="11"/>
        <v>建筑品质</v>
      </c>
      <c r="R35" s="1568" t="s">
        <v>11</v>
      </c>
      <c r="S35" s="1569">
        <f t="shared" si="12"/>
        <v>100</v>
      </c>
      <c r="T35" s="1568" t="s">
        <v>11</v>
      </c>
      <c r="U35" s="1569">
        <f t="shared" si="13"/>
        <v>100</v>
      </c>
      <c r="V35" s="1568" t="s">
        <v>11</v>
      </c>
      <c r="W35" s="1569">
        <f t="shared" si="14"/>
        <v>100</v>
      </c>
      <c r="X35" s="1562"/>
      <c r="Y35" s="3468"/>
      <c r="Z35" s="1570" t="str">
        <f t="shared" si="15"/>
        <v>建筑品质</v>
      </c>
      <c r="AA35" s="1571">
        <f t="shared" si="3"/>
        <v>1</v>
      </c>
      <c r="AB35" s="1571">
        <f t="shared" si="4"/>
        <v>1</v>
      </c>
      <c r="AC35" s="1571">
        <f t="shared" si="5"/>
        <v>1</v>
      </c>
    </row>
    <row r="36" spans="1:29" ht="15">
      <c r="A36" s="590"/>
      <c r="B36" s="525" t="s">
        <v>723</v>
      </c>
      <c r="C36" s="595" t="s">
        <v>3060</v>
      </c>
      <c r="D36" s="536">
        <v>100</v>
      </c>
      <c r="E36" s="595" t="s">
        <v>3060</v>
      </c>
      <c r="F36" s="571">
        <f>SUMIF(109:109,E36,110:110)-SUMIF(109:109,C36,110:110)+100</f>
        <v>100</v>
      </c>
      <c r="G36" s="595" t="s">
        <v>3060</v>
      </c>
      <c r="H36" s="536">
        <f>SUMIF(109:109,G36,110:110)-SUMIF(109:109,C36,110:110)+100</f>
        <v>100</v>
      </c>
      <c r="I36" s="595" t="s">
        <v>3060</v>
      </c>
      <c r="J36" s="536">
        <f>SUMIF(109:109,I36,110:110)-SUMIF(109:109,C36,110:110)+100</f>
        <v>100</v>
      </c>
      <c r="K36" s="860">
        <v>3</v>
      </c>
      <c r="L36" s="2137"/>
      <c r="M36" s="2129"/>
      <c r="N36" s="2129"/>
      <c r="O36" s="2136"/>
      <c r="P36" s="3468"/>
      <c r="Q36" s="1567" t="str">
        <f t="shared" si="11"/>
        <v>公共部分装修</v>
      </c>
      <c r="R36" s="1568" t="s">
        <v>11</v>
      </c>
      <c r="S36" s="1569">
        <f t="shared" si="12"/>
        <v>100</v>
      </c>
      <c r="T36" s="1568" t="s">
        <v>11</v>
      </c>
      <c r="U36" s="1569">
        <f t="shared" si="13"/>
        <v>100</v>
      </c>
      <c r="V36" s="1568" t="s">
        <v>11</v>
      </c>
      <c r="W36" s="1569">
        <f t="shared" si="14"/>
        <v>100</v>
      </c>
      <c r="X36" s="1562"/>
      <c r="Y36" s="3468"/>
      <c r="Z36" s="1570" t="str">
        <f t="shared" si="15"/>
        <v>公共部分装修</v>
      </c>
      <c r="AA36" s="1571">
        <f t="shared" si="3"/>
        <v>1</v>
      </c>
      <c r="AB36" s="1571">
        <f t="shared" si="4"/>
        <v>1</v>
      </c>
      <c r="AC36" s="1571">
        <f t="shared" si="5"/>
        <v>1</v>
      </c>
    </row>
    <row r="37" spans="1:29" s="1215" customFormat="1" ht="15">
      <c r="A37" s="596"/>
      <c r="B37" s="1890" t="s">
        <v>3075</v>
      </c>
      <c r="C37" s="878">
        <v>1</v>
      </c>
      <c r="D37" s="250">
        <v>100</v>
      </c>
      <c r="E37" s="879">
        <v>1</v>
      </c>
      <c r="F37" s="859">
        <f>LOOKUP(E37,112:112,113:113)-LOOKUP(C37,112:112,113:113)+100</f>
        <v>100</v>
      </c>
      <c r="G37" s="880">
        <v>1</v>
      </c>
      <c r="H37" s="250">
        <f>LOOKUP(G37,112:112,113:113)-LOOKUP(C37,112:112,113:113)+100</f>
        <v>100</v>
      </c>
      <c r="I37" s="879">
        <v>1</v>
      </c>
      <c r="J37" s="250">
        <f>LOOKUP(I37,112:112,113:113)-LOOKUP(C37,112:112,113:113)+100</f>
        <v>100</v>
      </c>
      <c r="K37" s="860"/>
      <c r="L37" s="2130"/>
      <c r="M37" s="2131"/>
      <c r="N37" s="2131"/>
      <c r="O37" s="2132"/>
      <c r="P37" s="3468"/>
      <c r="Q37" s="1146" t="str">
        <f t="shared" si="11"/>
        <v>成新度</v>
      </c>
      <c r="R37" s="1563" t="s">
        <v>11</v>
      </c>
      <c r="S37" s="1564">
        <f t="shared" si="12"/>
        <v>100</v>
      </c>
      <c r="T37" s="1563" t="s">
        <v>11</v>
      </c>
      <c r="U37" s="1564">
        <f t="shared" si="13"/>
        <v>100</v>
      </c>
      <c r="V37" s="1563" t="s">
        <v>11</v>
      </c>
      <c r="W37" s="1564">
        <f t="shared" si="14"/>
        <v>100</v>
      </c>
      <c r="X37" s="1565"/>
      <c r="Y37" s="3468"/>
      <c r="Z37" s="1145" t="str">
        <f t="shared" si="15"/>
        <v>成新度</v>
      </c>
      <c r="AA37" s="1566">
        <f t="shared" si="3"/>
        <v>1</v>
      </c>
      <c r="AB37" s="1566">
        <f t="shared" si="4"/>
        <v>1</v>
      </c>
      <c r="AC37" s="1566">
        <f t="shared" si="5"/>
        <v>1</v>
      </c>
    </row>
    <row r="38" spans="1:29" ht="15">
      <c r="A38" s="590"/>
      <c r="B38" s="525" t="s">
        <v>724</v>
      </c>
      <c r="C38" s="595" t="s">
        <v>3070</v>
      </c>
      <c r="D38" s="536">
        <v>100</v>
      </c>
      <c r="E38" s="595" t="s">
        <v>3070</v>
      </c>
      <c r="F38" s="571">
        <f>SUMIF(114:114,E38,115:115)-SUMIF(114:114,C38,115:115)+100</f>
        <v>100</v>
      </c>
      <c r="G38" s="595" t="s">
        <v>3070</v>
      </c>
      <c r="H38" s="536">
        <f>SUMIF(114:114,G38,115:115)-SUMIF(114:114,C38,115:115)+100</f>
        <v>100</v>
      </c>
      <c r="I38" s="595" t="s">
        <v>3070</v>
      </c>
      <c r="J38" s="536">
        <f>SUMIF(114:114,I38,115:115)-SUMIF(114:114,C38,115:115)+100</f>
        <v>100</v>
      </c>
      <c r="K38" s="860">
        <v>2</v>
      </c>
      <c r="L38" s="2137"/>
      <c r="M38" s="2129"/>
      <c r="N38" s="2129"/>
      <c r="O38" s="2136"/>
      <c r="P38" s="3468" t="s">
        <v>544</v>
      </c>
      <c r="Q38" s="1567" t="str">
        <f t="shared" si="11"/>
        <v>物业管理</v>
      </c>
      <c r="R38" s="1568" t="s">
        <v>11</v>
      </c>
      <c r="S38" s="1569">
        <f t="shared" si="12"/>
        <v>100</v>
      </c>
      <c r="T38" s="1568" t="s">
        <v>11</v>
      </c>
      <c r="U38" s="1569">
        <f t="shared" si="13"/>
        <v>100</v>
      </c>
      <c r="V38" s="1568" t="s">
        <v>11</v>
      </c>
      <c r="W38" s="1569">
        <f t="shared" si="14"/>
        <v>100</v>
      </c>
      <c r="X38" s="1562"/>
      <c r="Y38" s="3468" t="s">
        <v>544</v>
      </c>
      <c r="Z38" s="1570" t="str">
        <f t="shared" si="15"/>
        <v>物业管理</v>
      </c>
      <c r="AA38" s="1571">
        <f t="shared" si="3"/>
        <v>1</v>
      </c>
      <c r="AB38" s="1571">
        <f t="shared" si="4"/>
        <v>1</v>
      </c>
      <c r="AC38" s="1571">
        <f t="shared" si="5"/>
        <v>1</v>
      </c>
    </row>
    <row r="39" spans="1:29" ht="15">
      <c r="A39" s="590"/>
      <c r="B39" s="1890" t="s">
        <v>2561</v>
      </c>
      <c r="C39" s="595" t="s">
        <v>3041</v>
      </c>
      <c r="D39" s="536">
        <v>100</v>
      </c>
      <c r="E39" s="595" t="s">
        <v>3041</v>
      </c>
      <c r="F39" s="571">
        <f>SUMIF(116:116,E39,117:117)-SUMIF(116:116,C39,117:117)+100</f>
        <v>100</v>
      </c>
      <c r="G39" s="595" t="s">
        <v>3041</v>
      </c>
      <c r="H39" s="536">
        <f>SUMIF(116:116,G39,117:117)-SUMIF(116:116,C39,117:117)+100</f>
        <v>100</v>
      </c>
      <c r="I39" s="595" t="s">
        <v>3041</v>
      </c>
      <c r="J39" s="536">
        <f>SUMIF(116:116,I39,117:117)-SUMIF(116:116,C39,117:117)+100</f>
        <v>100</v>
      </c>
      <c r="K39" s="860">
        <v>1</v>
      </c>
      <c r="L39" s="2137"/>
      <c r="M39" s="2129"/>
      <c r="N39" s="2129"/>
      <c r="O39" s="2136"/>
      <c r="P39" s="3468"/>
      <c r="Q39" s="1567" t="str">
        <f t="shared" si="11"/>
        <v>市政基础设施</v>
      </c>
      <c r="R39" s="1568" t="s">
        <v>11</v>
      </c>
      <c r="S39" s="1569">
        <f t="shared" si="12"/>
        <v>100</v>
      </c>
      <c r="T39" s="1568" t="s">
        <v>11</v>
      </c>
      <c r="U39" s="1569">
        <f t="shared" si="13"/>
        <v>100</v>
      </c>
      <c r="V39" s="1568" t="s">
        <v>11</v>
      </c>
      <c r="W39" s="1569">
        <f t="shared" si="14"/>
        <v>100</v>
      </c>
      <c r="X39" s="1562"/>
      <c r="Y39" s="3468"/>
      <c r="Z39" s="1570" t="str">
        <f t="shared" si="15"/>
        <v>市政基础设施</v>
      </c>
      <c r="AA39" s="1571">
        <f t="shared" si="3"/>
        <v>1</v>
      </c>
      <c r="AB39" s="1571">
        <f t="shared" si="4"/>
        <v>1</v>
      </c>
      <c r="AC39" s="1571">
        <f t="shared" si="5"/>
        <v>1</v>
      </c>
    </row>
    <row r="40" spans="1:29" ht="15">
      <c r="A40" s="590"/>
      <c r="B40" s="525" t="s">
        <v>725</v>
      </c>
      <c r="C40" s="595"/>
      <c r="D40" s="536">
        <v>100</v>
      </c>
      <c r="E40" s="870"/>
      <c r="F40" s="571">
        <f>SUMIF(118:118,E40,119:119)-SUMIF(118:118,C40,119:119)+100</f>
        <v>100</v>
      </c>
      <c r="G40" s="595"/>
      <c r="H40" s="536">
        <f>SUMIF(118:118,G40,119:119)-SUMIF(118:118,C40,119:119)+100</f>
        <v>100</v>
      </c>
      <c r="I40" s="870"/>
      <c r="J40" s="536">
        <f>SUMIF(118:118,I40,119:119)-SUMIF(118:118,C40,119:119)+100</f>
        <v>100</v>
      </c>
      <c r="K40" s="860"/>
      <c r="L40" s="2137"/>
      <c r="M40" s="2129"/>
      <c r="N40" s="2129"/>
      <c r="O40" s="2136"/>
      <c r="P40" s="3468"/>
      <c r="Q40" s="1567" t="str">
        <f t="shared" si="11"/>
        <v>房型</v>
      </c>
      <c r="R40" s="1568" t="s">
        <v>11</v>
      </c>
      <c r="S40" s="1569">
        <f t="shared" si="12"/>
        <v>100</v>
      </c>
      <c r="T40" s="1568" t="s">
        <v>11</v>
      </c>
      <c r="U40" s="1569">
        <f t="shared" si="13"/>
        <v>100</v>
      </c>
      <c r="V40" s="1568" t="s">
        <v>11</v>
      </c>
      <c r="W40" s="1569">
        <f t="shared" si="14"/>
        <v>100</v>
      </c>
      <c r="X40" s="1562"/>
      <c r="Y40" s="3468"/>
      <c r="Z40" s="1570" t="str">
        <f t="shared" si="15"/>
        <v>房型</v>
      </c>
      <c r="AA40" s="1571">
        <f t="shared" si="3"/>
        <v>1</v>
      </c>
      <c r="AB40" s="1571">
        <f t="shared" si="4"/>
        <v>1</v>
      </c>
      <c r="AC40" s="1571">
        <f t="shared" si="5"/>
        <v>1</v>
      </c>
    </row>
    <row r="41" spans="1:29" s="1334" customFormat="1" ht="28.5">
      <c r="A41" s="599"/>
      <c r="B41" s="525" t="s">
        <v>726</v>
      </c>
      <c r="C41" s="875"/>
      <c r="D41" s="250">
        <v>100</v>
      </c>
      <c r="E41" s="530"/>
      <c r="F41" s="859">
        <f>SUMIF(120:120,E41,121:121)-SUMIF(120:120,C41,121:121)+100</f>
        <v>100</v>
      </c>
      <c r="G41" s="529"/>
      <c r="H41" s="250">
        <f>SUMIF(120:120,G41,121:121)-SUMIF(120:120,C41,121:121)+100</f>
        <v>100</v>
      </c>
      <c r="I41" s="582"/>
      <c r="J41" s="536">
        <f>SUMIF(120:120,I41,121:121)-SUMIF(120:120,C41,121:121)+100</f>
        <v>100</v>
      </c>
      <c r="K41" s="861"/>
      <c r="L41" s="2135"/>
      <c r="M41" s="2166"/>
      <c r="N41" s="2166"/>
      <c r="O41" s="2138"/>
      <c r="P41" s="3468"/>
      <c r="Q41" s="1600" t="str">
        <f t="shared" si="11"/>
        <v>单套/主力户型建筑面积</v>
      </c>
      <c r="R41" s="1572" t="s">
        <v>11</v>
      </c>
      <c r="S41" s="1573">
        <f t="shared" si="12"/>
        <v>100</v>
      </c>
      <c r="T41" s="1572" t="s">
        <v>11</v>
      </c>
      <c r="U41" s="1573">
        <f t="shared" si="13"/>
        <v>100</v>
      </c>
      <c r="V41" s="1572" t="s">
        <v>11</v>
      </c>
      <c r="W41" s="1573">
        <f t="shared" si="14"/>
        <v>100</v>
      </c>
      <c r="X41" s="1574"/>
      <c r="Y41" s="3468"/>
      <c r="Z41" s="1575" t="str">
        <f t="shared" si="15"/>
        <v>单套/主力户型建筑面积</v>
      </c>
      <c r="AA41" s="1571">
        <f t="shared" si="3"/>
        <v>1</v>
      </c>
      <c r="AB41" s="1571">
        <f t="shared" si="4"/>
        <v>1</v>
      </c>
      <c r="AC41" s="1571">
        <f t="shared" si="5"/>
        <v>1</v>
      </c>
    </row>
    <row r="42" spans="1:29" ht="15">
      <c r="A42" s="590"/>
      <c r="B42" s="525" t="s">
        <v>727</v>
      </c>
      <c r="C42" s="595" t="s">
        <v>3060</v>
      </c>
      <c r="D42" s="536">
        <v>100</v>
      </c>
      <c r="E42" s="870" t="s">
        <v>3071</v>
      </c>
      <c r="F42" s="571">
        <f>SUMIF(122:122,E42,123:123)-SUMIF(122:122,C42,123:123)+100</f>
        <v>91</v>
      </c>
      <c r="G42" s="595" t="s">
        <v>3071</v>
      </c>
      <c r="H42" s="536">
        <f>SUMIF(122:122,G42,123:123)-SUMIF(122:122,C42,123:123)+100</f>
        <v>91</v>
      </c>
      <c r="I42" s="595" t="s">
        <v>3060</v>
      </c>
      <c r="J42" s="536">
        <f>SUMIF(122:122,I42,123:123)-SUMIF(122:122,C42,123:123)+100</f>
        <v>100</v>
      </c>
      <c r="K42" s="860">
        <v>3</v>
      </c>
      <c r="L42" s="2137"/>
      <c r="M42" s="2129"/>
      <c r="N42" s="2129"/>
      <c r="O42" s="2136"/>
      <c r="P42" s="3468"/>
      <c r="Q42" s="1567" t="str">
        <f t="shared" si="11"/>
        <v>内部装修</v>
      </c>
      <c r="R42" s="1568" t="s">
        <v>11</v>
      </c>
      <c r="S42" s="1569">
        <f t="shared" si="12"/>
        <v>91</v>
      </c>
      <c r="T42" s="1568" t="s">
        <v>11</v>
      </c>
      <c r="U42" s="1569">
        <f t="shared" si="13"/>
        <v>91</v>
      </c>
      <c r="V42" s="1568" t="s">
        <v>11</v>
      </c>
      <c r="W42" s="1569">
        <f t="shared" si="14"/>
        <v>100</v>
      </c>
      <c r="X42" s="1562"/>
      <c r="Y42" s="3468"/>
      <c r="Z42" s="1570" t="str">
        <f t="shared" si="15"/>
        <v>内部装修</v>
      </c>
      <c r="AA42" s="1571">
        <f t="shared" si="3"/>
        <v>1.098901098901099</v>
      </c>
      <c r="AB42" s="1571">
        <f t="shared" si="4"/>
        <v>1.098901098901099</v>
      </c>
      <c r="AC42" s="1571">
        <f t="shared" si="5"/>
        <v>1</v>
      </c>
    </row>
    <row r="43" spans="1:29" ht="27">
      <c r="A43" s="590"/>
      <c r="B43" s="525" t="s">
        <v>728</v>
      </c>
      <c r="C43" s="595" t="s">
        <v>3040</v>
      </c>
      <c r="D43" s="536">
        <v>100</v>
      </c>
      <c r="E43" s="595" t="s">
        <v>3040</v>
      </c>
      <c r="F43" s="571">
        <f>SUMIF(124:124,E43,125:125)-SUMIF(124:124,C43,125:125)+100</f>
        <v>100</v>
      </c>
      <c r="G43" s="595" t="s">
        <v>3040</v>
      </c>
      <c r="H43" s="536">
        <f>SUMIF(124:124,G43,125:125)-SUMIF(124:124,C43,125:125)+100</f>
        <v>100</v>
      </c>
      <c r="I43" s="595" t="s">
        <v>3040</v>
      </c>
      <c r="J43" s="536">
        <f>SUMIF(124:124,I43,125:125)-SUMIF(124:124,C43,125:125)+100</f>
        <v>100</v>
      </c>
      <c r="K43" s="860">
        <v>2</v>
      </c>
      <c r="L43" s="2137"/>
      <c r="M43" s="2129"/>
      <c r="N43" s="2129"/>
      <c r="O43" s="2136"/>
      <c r="P43" s="3468"/>
      <c r="Q43" s="1567" t="str">
        <f t="shared" si="11"/>
        <v>内部装修维护情况</v>
      </c>
      <c r="R43" s="1568" t="s">
        <v>11</v>
      </c>
      <c r="S43" s="1569">
        <f t="shared" si="12"/>
        <v>100</v>
      </c>
      <c r="T43" s="1568" t="s">
        <v>11</v>
      </c>
      <c r="U43" s="1569">
        <f t="shared" si="13"/>
        <v>100</v>
      </c>
      <c r="V43" s="1568" t="s">
        <v>11</v>
      </c>
      <c r="W43" s="1569">
        <f t="shared" si="14"/>
        <v>100</v>
      </c>
      <c r="X43" s="1562"/>
      <c r="Y43" s="3468"/>
      <c r="Z43" s="1570" t="str">
        <f t="shared" si="15"/>
        <v>内部装修维护情况</v>
      </c>
      <c r="AA43" s="1571">
        <f t="shared" si="3"/>
        <v>1</v>
      </c>
      <c r="AB43" s="1571">
        <f t="shared" si="4"/>
        <v>1</v>
      </c>
      <c r="AC43" s="1571">
        <f t="shared" si="5"/>
        <v>1</v>
      </c>
    </row>
    <row r="44" spans="1:29" s="1215" customFormat="1" ht="15">
      <c r="A44" s="596"/>
      <c r="B44" s="873">
        <v>111</v>
      </c>
      <c r="C44" s="875"/>
      <c r="D44" s="250">
        <v>100</v>
      </c>
      <c r="E44" s="875"/>
      <c r="F44" s="859">
        <f>SUMIF(126:126,E44,127:127)-SUMIF(126:126,C44,127:127)+100</f>
        <v>100</v>
      </c>
      <c r="G44" s="875"/>
      <c r="H44" s="250">
        <f>SUMIF(126:126,G44,127:127)-SUMIF(126:126,C44,127:127)+100</f>
        <v>100</v>
      </c>
      <c r="I44" s="875"/>
      <c r="J44" s="250">
        <f>SUMIF(126:126,I44,127:127)-SUMIF(126:126,C44,127:127)+100</f>
        <v>100</v>
      </c>
      <c r="K44" s="861"/>
      <c r="L44" s="2130"/>
      <c r="M44" s="2131"/>
      <c r="N44" s="2131"/>
      <c r="O44" s="2132"/>
      <c r="P44" s="3468"/>
      <c r="Q44" s="1146">
        <f t="shared" si="11"/>
        <v>111</v>
      </c>
      <c r="R44" s="1563" t="s">
        <v>11</v>
      </c>
      <c r="S44" s="1564">
        <f t="shared" si="12"/>
        <v>100</v>
      </c>
      <c r="T44" s="1563" t="s">
        <v>11</v>
      </c>
      <c r="U44" s="1564">
        <f t="shared" si="13"/>
        <v>100</v>
      </c>
      <c r="V44" s="1563" t="s">
        <v>11</v>
      </c>
      <c r="W44" s="1564">
        <f t="shared" si="14"/>
        <v>100</v>
      </c>
      <c r="X44" s="1565"/>
      <c r="Y44" s="3468"/>
      <c r="Z44" s="1145">
        <f t="shared" si="15"/>
        <v>111</v>
      </c>
      <c r="AA44" s="1566">
        <f t="shared" si="3"/>
        <v>1</v>
      </c>
      <c r="AB44" s="1566">
        <f t="shared" si="4"/>
        <v>1</v>
      </c>
      <c r="AC44" s="1566">
        <f t="shared" si="5"/>
        <v>1</v>
      </c>
    </row>
    <row r="45" spans="1:29" ht="15">
      <c r="A45" s="590"/>
      <c r="B45" s="873">
        <v>111</v>
      </c>
      <c r="C45" s="535"/>
      <c r="D45" s="536">
        <v>100</v>
      </c>
      <c r="E45" s="535"/>
      <c r="F45" s="571">
        <f>SUMIF(128:128,E45,129:129)-SUMIF(128:128,C45,129:129)+100</f>
        <v>100</v>
      </c>
      <c r="G45" s="535"/>
      <c r="H45" s="536">
        <f>SUMIF(128:128,G45,129:129)-SUMIF(128:128,C45,129:129)+100</f>
        <v>100</v>
      </c>
      <c r="I45" s="535"/>
      <c r="J45" s="536">
        <f>SUMIF(128:128,I45,129:129)-SUMIF(128:128,C45,129:129)+100</f>
        <v>100</v>
      </c>
      <c r="K45" s="861"/>
      <c r="L45" s="2137"/>
      <c r="M45" s="2129"/>
      <c r="N45" s="2129"/>
      <c r="O45" s="2136"/>
      <c r="P45" s="3468"/>
      <c r="Q45" s="1567">
        <f t="shared" si="11"/>
        <v>111</v>
      </c>
      <c r="R45" s="1568" t="s">
        <v>11</v>
      </c>
      <c r="S45" s="1569">
        <f t="shared" si="12"/>
        <v>100</v>
      </c>
      <c r="T45" s="1568" t="s">
        <v>11</v>
      </c>
      <c r="U45" s="1569">
        <f t="shared" si="13"/>
        <v>100</v>
      </c>
      <c r="V45" s="1568" t="s">
        <v>11</v>
      </c>
      <c r="W45" s="1569">
        <f t="shared" si="14"/>
        <v>100</v>
      </c>
      <c r="X45" s="1562"/>
      <c r="Y45" s="3468"/>
      <c r="Z45" s="1570">
        <f t="shared" si="15"/>
        <v>111</v>
      </c>
      <c r="AA45" s="1571">
        <f t="shared" si="3"/>
        <v>1</v>
      </c>
      <c r="AB45" s="1571">
        <f t="shared" si="4"/>
        <v>1</v>
      </c>
      <c r="AC45" s="1571">
        <f t="shared" si="5"/>
        <v>1</v>
      </c>
    </row>
    <row r="46" spans="1:29" ht="15.75" thickBot="1">
      <c r="A46" s="881"/>
      <c r="B46" s="540">
        <v>111</v>
      </c>
      <c r="C46" s="541"/>
      <c r="D46" s="542">
        <v>100</v>
      </c>
      <c r="E46" s="541"/>
      <c r="F46" s="862">
        <f>SUMIF(130:130,E46,131:131)-SUMIF(130:130,C46,131:131)+100</f>
        <v>100</v>
      </c>
      <c r="G46" s="541"/>
      <c r="H46" s="542">
        <f>SUMIF(130:130,G46,131:131)-SUMIF(130:130,C46,131:131)+100</f>
        <v>100</v>
      </c>
      <c r="I46" s="541"/>
      <c r="J46" s="542">
        <f>SUMIF(130:130,I46,131:131)-SUMIF(130:130,C46,131:131)+100</f>
        <v>100</v>
      </c>
      <c r="K46" s="861"/>
      <c r="L46" s="2137"/>
      <c r="M46" s="2129"/>
      <c r="N46" s="2129"/>
      <c r="O46" s="2136"/>
      <c r="P46" s="3543"/>
      <c r="Q46" s="1567">
        <f t="shared" si="11"/>
        <v>111</v>
      </c>
      <c r="R46" s="1568" t="s">
        <v>10</v>
      </c>
      <c r="S46" s="1569">
        <f t="shared" si="12"/>
        <v>100</v>
      </c>
      <c r="T46" s="1568" t="s">
        <v>10</v>
      </c>
      <c r="U46" s="1569">
        <f t="shared" si="13"/>
        <v>100</v>
      </c>
      <c r="V46" s="1568" t="s">
        <v>10</v>
      </c>
      <c r="W46" s="1569">
        <f t="shared" si="14"/>
        <v>100</v>
      </c>
      <c r="X46" s="1562"/>
      <c r="Y46" s="3543"/>
      <c r="Z46" s="1570">
        <f t="shared" si="15"/>
        <v>111</v>
      </c>
      <c r="AA46" s="1571">
        <f t="shared" si="3"/>
        <v>1</v>
      </c>
      <c r="AB46" s="1571">
        <f t="shared" si="4"/>
        <v>1</v>
      </c>
      <c r="AC46" s="1571">
        <f t="shared" si="5"/>
        <v>1</v>
      </c>
    </row>
    <row r="47" spans="1:29" ht="15">
      <c r="A47" s="603" t="s">
        <v>729</v>
      </c>
      <c r="B47" s="882"/>
      <c r="C47" s="2646" t="s">
        <v>9</v>
      </c>
      <c r="D47" s="2647"/>
      <c r="E47" s="2648">
        <f>ROUND(44000*O60,0)</f>
        <v>43120</v>
      </c>
      <c r="F47" s="2649"/>
      <c r="G47" s="2648">
        <f>ROUND(42000*O60,0)</f>
        <v>41160</v>
      </c>
      <c r="H47" s="2651"/>
      <c r="I47" s="2648">
        <f>ROUND(45000*O60,0)</f>
        <v>44100</v>
      </c>
      <c r="J47" s="2651"/>
      <c r="K47" s="1601"/>
      <c r="L47" s="2139"/>
      <c r="M47" s="2140"/>
      <c r="N47" s="2129"/>
      <c r="O47" s="2140"/>
      <c r="P47" s="3463" t="str">
        <f>A47</f>
        <v>成交单价（元/平方米）</v>
      </c>
      <c r="Q47" s="3463"/>
      <c r="R47" s="3542">
        <f>E47</f>
        <v>43120</v>
      </c>
      <c r="S47" s="3542"/>
      <c r="T47" s="3542">
        <f>G47</f>
        <v>41160</v>
      </c>
      <c r="U47" s="3542"/>
      <c r="V47" s="3542">
        <f>I47</f>
        <v>44100</v>
      </c>
      <c r="W47" s="3542"/>
      <c r="X47" s="1554"/>
      <c r="Y47" s="1576"/>
      <c r="Z47" s="1554"/>
      <c r="AA47" s="1554"/>
      <c r="AB47" s="1554"/>
      <c r="AC47" s="1554"/>
    </row>
    <row r="48" spans="1:29" ht="15.75" thickBot="1">
      <c r="A48" s="611" t="s">
        <v>2759</v>
      </c>
      <c r="B48" s="883"/>
      <c r="C48" s="2652">
        <f>R49</f>
        <v>45062</v>
      </c>
      <c r="D48" s="2653"/>
      <c r="E48" s="2654">
        <f>R48</f>
        <v>47873</v>
      </c>
      <c r="F48" s="2654"/>
      <c r="G48" s="2652">
        <f>T48</f>
        <v>46172</v>
      </c>
      <c r="H48" s="2653"/>
      <c r="I48" s="2654">
        <f>V48</f>
        <v>41141</v>
      </c>
      <c r="J48" s="2653"/>
      <c r="K48" s="1602"/>
      <c r="L48" s="2139"/>
      <c r="M48" s="2140"/>
      <c r="N48" s="2140"/>
      <c r="O48" s="2140"/>
      <c r="P48" s="3463" t="str">
        <f>A48</f>
        <v>比较价格（元/平方米）</v>
      </c>
      <c r="Q48" s="3463"/>
      <c r="R48" s="3542">
        <f>IF(F1="售价",ROUND(PRODUCT(R47,AA7:AA46),0),ROUND(PRODUCT(R47,AA7:AA46),1))</f>
        <v>47873</v>
      </c>
      <c r="S48" s="3542"/>
      <c r="T48" s="3542">
        <f>IF(F1="售价",ROUND(PRODUCT(T47,AB7:AB46),0),ROUND(PRODUCT(T47,AB7:AB46),1))</f>
        <v>46172</v>
      </c>
      <c r="U48" s="3542"/>
      <c r="V48" s="3542">
        <f>IF(F1="售价",ROUND(PRODUCT(V47,AC7:AC46),0),ROUND(PRODUCT(V47,AC7:AC46),1))</f>
        <v>41141</v>
      </c>
      <c r="W48" s="3542"/>
      <c r="X48" s="1554"/>
      <c r="Y48" s="1554"/>
      <c r="Z48" s="1554"/>
      <c r="AA48" s="1554"/>
      <c r="AB48" s="1554"/>
      <c r="AC48" s="1554"/>
    </row>
    <row r="49" spans="1:29" ht="33" customHeight="1" thickBot="1">
      <c r="A49" s="617" t="s">
        <v>2929</v>
      </c>
      <c r="B49" s="618"/>
      <c r="C49" s="2655">
        <f>R49</f>
        <v>45062</v>
      </c>
      <c r="D49" s="2655"/>
      <c r="E49" s="2655"/>
      <c r="F49" s="2655"/>
      <c r="G49" s="2655"/>
      <c r="H49" s="2655"/>
      <c r="I49" s="2655"/>
      <c r="J49" s="2655"/>
      <c r="K49" s="1603"/>
      <c r="L49" s="2139"/>
      <c r="M49" s="2140"/>
      <c r="N49" s="2140"/>
      <c r="O49" s="2140"/>
      <c r="P49" s="3484" t="str">
        <f>A49</f>
        <v>估价对象XX用房的比较价格（楼面单价，元/平方米）</v>
      </c>
      <c r="Q49" s="3485"/>
      <c r="R49" s="3541">
        <f>IF(F1="售价",ROUND(AVERAGE(R48:V48),0),ROUND(AVERAGE(R48:V48),1))</f>
        <v>45062</v>
      </c>
      <c r="S49" s="3541"/>
      <c r="T49" s="3541"/>
      <c r="U49" s="3541"/>
      <c r="V49" s="3541"/>
      <c r="W49" s="3541"/>
      <c r="X49" s="1554"/>
      <c r="Y49" s="1554"/>
      <c r="Z49" s="1554"/>
      <c r="AA49" s="1554"/>
      <c r="AB49" s="1554"/>
      <c r="AC49" s="1554"/>
    </row>
    <row r="50" spans="1:29">
      <c r="A50" s="2140"/>
      <c r="B50" s="2140"/>
      <c r="C50" s="2140"/>
      <c r="D50" s="2140"/>
      <c r="E50" s="2140"/>
      <c r="F50" s="2140"/>
      <c r="G50" s="2143"/>
      <c r="H50" s="2140"/>
      <c r="I50" s="2140"/>
      <c r="J50" s="2140"/>
      <c r="K50" s="2144"/>
      <c r="L50" s="2145"/>
      <c r="M50" s="2140"/>
      <c r="N50" s="2140"/>
      <c r="O50" s="2140"/>
      <c r="P50" s="2140"/>
      <c r="Q50" s="2140"/>
      <c r="R50" s="2140"/>
      <c r="S50" s="2140"/>
      <c r="T50" s="2140"/>
      <c r="U50" s="2140"/>
      <c r="V50" s="2140"/>
      <c r="W50" s="2140"/>
      <c r="X50" s="2140"/>
      <c r="Y50" s="2140"/>
      <c r="Z50" s="2140"/>
      <c r="AA50" s="2140"/>
      <c r="AB50" s="2140"/>
      <c r="AC50" s="2140"/>
    </row>
    <row r="51" spans="1:29">
      <c r="A51" s="2140"/>
      <c r="B51" s="2140"/>
      <c r="C51" s="2140"/>
      <c r="D51" s="2140"/>
      <c r="E51" s="2140"/>
      <c r="F51" s="2140"/>
      <c r="G51" s="2140"/>
      <c r="H51" s="2140"/>
      <c r="I51" s="2140"/>
      <c r="J51" s="2140"/>
      <c r="K51" s="2144"/>
      <c r="L51" s="2145"/>
      <c r="M51" s="2140"/>
      <c r="N51" s="2140"/>
      <c r="O51" s="2140"/>
      <c r="P51" s="2140"/>
      <c r="Q51" s="2140"/>
      <c r="R51" s="2140"/>
      <c r="S51" s="2140"/>
      <c r="T51" s="2140"/>
      <c r="U51" s="2140"/>
      <c r="V51" s="2140"/>
      <c r="W51" s="2140"/>
      <c r="X51" s="2140"/>
      <c r="Y51" s="2140"/>
      <c r="Z51" s="2140"/>
      <c r="AA51" s="2140"/>
      <c r="AB51" s="2140"/>
      <c r="AC51" s="2140"/>
    </row>
    <row r="52" spans="1:29" ht="13.5" customHeight="1">
      <c r="A52" s="2140"/>
      <c r="B52" s="2140"/>
      <c r="C52" s="620" t="s">
        <v>551</v>
      </c>
      <c r="D52" s="621"/>
      <c r="E52" s="622">
        <f>IF(E47&lt;E48,E48/E47-1,E47/E48-1)</f>
        <v>0.11022727272727262</v>
      </c>
      <c r="F52" s="623" t="str">
        <f>IF(OR(E52&gt;=0.3,E52&lt;=-0.3),"超过30%","")</f>
        <v/>
      </c>
      <c r="G52" s="622">
        <f>IF(G47&lt;G48,G48/G47-1,G47/G48-1)</f>
        <v>0.12176870748299318</v>
      </c>
      <c r="H52" s="623" t="str">
        <f>IF(OR(G52&gt;=0.3,G52&lt;=-0.3),"超过30%","")</f>
        <v/>
      </c>
      <c r="I52" s="622">
        <f>IF(I47&lt;I48,I48/I47-1,I47/I48-1)</f>
        <v>7.192338543059229E-2</v>
      </c>
      <c r="J52" s="623" t="str">
        <f>IF(OR(I52&gt;=0.3,I52&lt;=-0.3),"超过30%","")</f>
        <v/>
      </c>
      <c r="K52" s="2144"/>
      <c r="L52" s="2145"/>
      <c r="M52" s="2140"/>
      <c r="N52" s="2140"/>
      <c r="O52" s="2140"/>
      <c r="P52" s="2140"/>
      <c r="Q52" s="2140"/>
      <c r="R52" s="2140"/>
      <c r="S52" s="2140"/>
      <c r="T52" s="2140"/>
      <c r="U52" s="2140"/>
      <c r="V52" s="2140"/>
      <c r="W52" s="2140"/>
      <c r="X52" s="2140"/>
      <c r="Y52" s="2140"/>
      <c r="Z52" s="2140"/>
      <c r="AA52" s="2140"/>
      <c r="AB52" s="2140"/>
      <c r="AC52" s="2140"/>
    </row>
    <row r="53" spans="1:29" ht="13.5" customHeight="1">
      <c r="A53" s="2140"/>
      <c r="B53" s="2140"/>
      <c r="C53" s="620" t="s">
        <v>552</v>
      </c>
      <c r="D53" s="624"/>
      <c r="E53" s="622">
        <f>IF(E48&lt;G48,G48/E48-1,E48/G48-1)</f>
        <v>3.6840509399636234E-2</v>
      </c>
      <c r="F53" s="623" t="str">
        <f>IF(OR(E53&gt;=0.2,E53&lt;=-0.2),"超过20%","")</f>
        <v/>
      </c>
      <c r="G53" s="622">
        <f>IF(G48&lt;I48,I48/G48-1,G48/I48-1)</f>
        <v>0.12228676988891851</v>
      </c>
      <c r="H53" s="623" t="str">
        <f>IF(OR(G53&gt;=0.2,G53&lt;=-0.2),"超过20%","")</f>
        <v/>
      </c>
      <c r="I53" s="622">
        <f>IF(I48&lt;E48,E48/I48-1,I48/E48-1)</f>
        <v>0.16363238618409848</v>
      </c>
      <c r="J53" s="623" t="str">
        <f>IF(OR(I53&gt;=0.2,I53&lt;=-0.2),"超过20%","")</f>
        <v/>
      </c>
      <c r="K53" s="2144"/>
      <c r="L53" s="2145"/>
      <c r="M53" s="2140"/>
      <c r="N53" s="2140"/>
      <c r="O53" s="2140"/>
      <c r="P53" s="2140"/>
      <c r="Q53" s="2140"/>
      <c r="R53" s="2140"/>
      <c r="S53" s="2140"/>
      <c r="T53" s="2140"/>
      <c r="U53" s="2140"/>
      <c r="V53" s="2140"/>
      <c r="W53" s="2140"/>
      <c r="X53" s="2140"/>
      <c r="Y53" s="2140"/>
      <c r="Z53" s="2140"/>
      <c r="AA53" s="2140"/>
      <c r="AB53" s="2140"/>
      <c r="AC53" s="2140"/>
    </row>
    <row r="54" spans="1:29" s="1340" customFormat="1" ht="13.5" customHeight="1">
      <c r="A54" s="2141"/>
      <c r="B54" s="2141"/>
      <c r="C54" s="620" t="s">
        <v>553</v>
      </c>
      <c r="D54" s="624"/>
      <c r="E54" s="622">
        <f>IF(E47&lt;G47,G47/E47-1,E47/G47-1)</f>
        <v>4.7619047619047672E-2</v>
      </c>
      <c r="F54" s="623" t="str">
        <f>IF(OR(E54&gt;=0.3,E54&lt;=-0.3),"超过30%","")</f>
        <v/>
      </c>
      <c r="G54" s="622">
        <f>IF(G47&lt;I47,I47/G47-1,G47/I47-1)</f>
        <v>7.1428571428571397E-2</v>
      </c>
      <c r="H54" s="623" t="str">
        <f>IF(OR(G54&gt;=0.3,G54&lt;=-0.3),"超过30%","")</f>
        <v/>
      </c>
      <c r="I54" s="622">
        <f>IF(I47&lt;E47,E47/I47-1,I47/E47-1)</f>
        <v>2.2727272727272707E-2</v>
      </c>
      <c r="J54" s="623" t="str">
        <f>IF(OR(I54&gt;=0.3,I54&lt;=-0.3),"超过30%","")</f>
        <v/>
      </c>
      <c r="K54" s="2147"/>
      <c r="L54" s="2148"/>
      <c r="M54" s="2141"/>
      <c r="N54" s="2141"/>
      <c r="O54" s="2141"/>
      <c r="P54" s="2141"/>
      <c r="Q54" s="2141"/>
      <c r="R54" s="2141"/>
      <c r="S54" s="2141"/>
      <c r="T54" s="2141"/>
      <c r="U54" s="2141"/>
      <c r="V54" s="2141"/>
      <c r="W54" s="2141"/>
      <c r="X54" s="2141"/>
      <c r="Y54" s="2141"/>
      <c r="Z54" s="2141"/>
      <c r="AA54" s="2141"/>
      <c r="AB54" s="2141"/>
      <c r="AC54" s="2141"/>
    </row>
    <row r="55" spans="1:29" s="1340" customFormat="1">
      <c r="A55" s="2141"/>
      <c r="B55" s="2142"/>
      <c r="C55" s="2146"/>
      <c r="D55" s="2141"/>
      <c r="E55" s="2141"/>
      <c r="F55" s="2141"/>
      <c r="G55" s="2141"/>
      <c r="H55" s="2141"/>
      <c r="I55" s="2141"/>
      <c r="J55" s="2141"/>
      <c r="K55" s="2147"/>
      <c r="L55" s="2148"/>
      <c r="M55" s="2141"/>
      <c r="N55" s="2141"/>
      <c r="O55" s="2141"/>
      <c r="P55" s="2141"/>
      <c r="Q55" s="2141"/>
      <c r="R55" s="2141"/>
      <c r="S55" s="2141"/>
      <c r="T55" s="2141"/>
      <c r="U55" s="2141"/>
      <c r="V55" s="2141"/>
      <c r="W55" s="2141"/>
      <c r="X55" s="2141"/>
      <c r="Y55" s="2141"/>
      <c r="Z55" s="2141"/>
      <c r="AA55" s="2141"/>
      <c r="AB55" s="2141"/>
      <c r="AC55" s="2141"/>
    </row>
    <row r="56" spans="1:29">
      <c r="A56" s="2140"/>
      <c r="B56" s="2142"/>
      <c r="C56" s="2146"/>
      <c r="D56" s="2142"/>
      <c r="E56" s="2142"/>
      <c r="F56" s="2142"/>
      <c r="G56" s="2142"/>
      <c r="H56" s="2142"/>
      <c r="I56" s="2142"/>
      <c r="J56" s="2142"/>
      <c r="K56" s="2142"/>
      <c r="L56" s="2142"/>
      <c r="M56" s="2142"/>
      <c r="N56" s="2142"/>
      <c r="O56" s="2142"/>
      <c r="P56" s="2140"/>
      <c r="Q56" s="2140"/>
      <c r="R56" s="2140"/>
      <c r="S56" s="2140"/>
      <c r="T56" s="2140"/>
      <c r="U56" s="2140"/>
      <c r="V56" s="2140"/>
      <c r="W56" s="2140"/>
      <c r="X56" s="2140"/>
      <c r="Y56" s="2140"/>
      <c r="Z56" s="2140"/>
      <c r="AA56" s="2140"/>
      <c r="AB56" s="2140"/>
      <c r="AC56" s="2140"/>
    </row>
    <row r="57" spans="1:29" ht="21.75" thickBot="1">
      <c r="A57" s="1579" t="s">
        <v>568</v>
      </c>
      <c r="B57" s="1554"/>
      <c r="C57" s="1578"/>
      <c r="D57" s="1578"/>
      <c r="E57" s="1578"/>
      <c r="F57" s="1580"/>
      <c r="G57" s="1580"/>
      <c r="H57" s="1578"/>
      <c r="I57" s="1578"/>
      <c r="J57" s="1578"/>
      <c r="K57" s="1581"/>
      <c r="L57" s="1577"/>
      <c r="M57" s="1578"/>
      <c r="N57" s="1578"/>
      <c r="O57" s="1578"/>
      <c r="P57" s="2152"/>
      <c r="Q57" s="2153"/>
      <c r="R57" s="2140"/>
      <c r="S57" s="2140"/>
      <c r="T57" s="2140"/>
      <c r="U57" s="2140"/>
      <c r="V57" s="2140"/>
      <c r="W57" s="2140"/>
      <c r="X57" s="2140"/>
      <c r="Y57" s="2140"/>
      <c r="Z57" s="2140"/>
      <c r="AA57" s="2140"/>
      <c r="AB57" s="2140"/>
      <c r="AC57" s="2140"/>
    </row>
    <row r="58" spans="1:29" s="1342" customFormat="1" ht="15">
      <c r="A58" s="641" t="s">
        <v>523</v>
      </c>
      <c r="B58" s="642"/>
      <c r="C58" s="2825" t="str">
        <f>YEAR(C7)&amp;"-"&amp;MONTH(C7)</f>
        <v>2017-10</v>
      </c>
      <c r="D58" s="2825">
        <f>EDATE(C58,-1)</f>
        <v>42979</v>
      </c>
      <c r="E58" s="2825">
        <f t="shared" ref="E58:O58" si="16">EDATE(D58,-1)</f>
        <v>42948</v>
      </c>
      <c r="F58" s="2825">
        <f t="shared" si="16"/>
        <v>42917</v>
      </c>
      <c r="G58" s="2825">
        <f t="shared" si="16"/>
        <v>42887</v>
      </c>
      <c r="H58" s="2825">
        <f t="shared" si="16"/>
        <v>42856</v>
      </c>
      <c r="I58" s="2825">
        <f t="shared" si="16"/>
        <v>42826</v>
      </c>
      <c r="J58" s="2825">
        <f t="shared" si="16"/>
        <v>42795</v>
      </c>
      <c r="K58" s="2825">
        <f t="shared" si="16"/>
        <v>42767</v>
      </c>
      <c r="L58" s="2825">
        <f t="shared" si="16"/>
        <v>42736</v>
      </c>
      <c r="M58" s="2825">
        <f t="shared" si="16"/>
        <v>42705</v>
      </c>
      <c r="N58" s="2825">
        <f t="shared" si="16"/>
        <v>42675</v>
      </c>
      <c r="O58" s="2825">
        <f t="shared" si="16"/>
        <v>42644</v>
      </c>
      <c r="P58" s="2155"/>
      <c r="Q58" s="2156"/>
      <c r="R58" s="2156"/>
      <c r="S58" s="2156"/>
      <c r="T58" s="2156"/>
      <c r="U58" s="2156"/>
      <c r="V58" s="2156"/>
      <c r="W58" s="2156"/>
      <c r="X58" s="2156"/>
      <c r="Y58" s="2156"/>
      <c r="Z58" s="2156"/>
      <c r="AA58" s="2156"/>
      <c r="AB58" s="2156"/>
      <c r="AC58" s="2156"/>
    </row>
    <row r="59" spans="1:29" s="1215" customFormat="1" ht="15">
      <c r="A59" s="643"/>
      <c r="B59" s="644"/>
      <c r="C59" s="645">
        <v>100</v>
      </c>
      <c r="D59" s="726">
        <v>99.8</v>
      </c>
      <c r="E59" s="726">
        <v>99.6</v>
      </c>
      <c r="F59" s="726">
        <v>99.4</v>
      </c>
      <c r="G59" s="726">
        <v>99.2</v>
      </c>
      <c r="H59" s="726">
        <v>99</v>
      </c>
      <c r="I59" s="726">
        <v>98.8</v>
      </c>
      <c r="J59" s="726">
        <v>98.6</v>
      </c>
      <c r="K59" s="726">
        <v>98.4</v>
      </c>
      <c r="L59" s="726">
        <v>98.2</v>
      </c>
      <c r="M59" s="2813">
        <v>98</v>
      </c>
      <c r="N59" s="646"/>
      <c r="O59" s="646"/>
      <c r="P59" s="2153"/>
      <c r="Q59" s="1988"/>
      <c r="R59" s="1988"/>
      <c r="S59" s="1988"/>
      <c r="T59" s="1988"/>
      <c r="U59" s="1988"/>
      <c r="V59" s="1988"/>
      <c r="W59" s="1988"/>
      <c r="X59" s="1988"/>
      <c r="Y59" s="1988"/>
      <c r="Z59" s="1988"/>
      <c r="AA59" s="1988"/>
      <c r="AB59" s="1988"/>
      <c r="AC59" s="1988"/>
    </row>
    <row r="60" spans="1:29" s="1215" customFormat="1" ht="15.75" thickBot="1">
      <c r="A60" s="649" t="s">
        <v>569</v>
      </c>
      <c r="B60" s="650"/>
      <c r="C60" s="651"/>
      <c r="D60" s="652"/>
      <c r="E60" s="652"/>
      <c r="F60" s="652"/>
      <c r="G60" s="652"/>
      <c r="H60" s="652"/>
      <c r="I60" s="652"/>
      <c r="J60" s="652"/>
      <c r="K60" s="652"/>
      <c r="L60" s="652"/>
      <c r="M60" s="653"/>
      <c r="N60" s="652"/>
      <c r="O60" s="654">
        <v>0.98</v>
      </c>
      <c r="P60" s="2153"/>
      <c r="Q60" s="2153"/>
      <c r="R60" s="1988"/>
      <c r="S60" s="1988"/>
      <c r="T60" s="1988"/>
      <c r="U60" s="1988"/>
      <c r="V60" s="1988"/>
      <c r="W60" s="1988"/>
      <c r="X60" s="1988"/>
      <c r="Y60" s="1988"/>
      <c r="Z60" s="1988"/>
      <c r="AA60" s="1988"/>
      <c r="AB60" s="1988"/>
      <c r="AC60" s="1988"/>
    </row>
    <row r="61" spans="1:29" s="1215" customFormat="1" ht="15">
      <c r="A61" s="655" t="s">
        <v>525</v>
      </c>
      <c r="B61" s="644"/>
      <c r="C61" s="656" t="s">
        <v>570</v>
      </c>
      <c r="D61" s="657"/>
      <c r="E61" s="657"/>
      <c r="F61" s="657"/>
      <c r="G61" s="657"/>
      <c r="H61" s="657"/>
      <c r="I61" s="657"/>
      <c r="J61" s="657"/>
      <c r="K61" s="657"/>
      <c r="L61" s="658"/>
      <c r="M61" s="659"/>
      <c r="N61" s="2157"/>
      <c r="O61" s="2157"/>
      <c r="P61" s="2158"/>
      <c r="Q61" s="2153"/>
      <c r="R61" s="1988"/>
      <c r="S61" s="1988"/>
      <c r="T61" s="1988"/>
      <c r="U61" s="1988"/>
      <c r="V61" s="1988"/>
      <c r="W61" s="1988"/>
      <c r="X61" s="1988"/>
      <c r="Y61" s="1988"/>
      <c r="Z61" s="1988"/>
      <c r="AA61" s="1988"/>
      <c r="AB61" s="1988"/>
      <c r="AC61" s="1988"/>
    </row>
    <row r="62" spans="1:29" s="1215" customFormat="1" ht="15.75" thickBot="1">
      <c r="A62" s="655"/>
      <c r="B62" s="644"/>
      <c r="C62" s="884">
        <v>100</v>
      </c>
      <c r="D62" s="646"/>
      <c r="E62" s="646"/>
      <c r="F62" s="646"/>
      <c r="G62" s="646"/>
      <c r="H62" s="646"/>
      <c r="I62" s="646"/>
      <c r="J62" s="646"/>
      <c r="K62" s="646"/>
      <c r="L62" s="646"/>
      <c r="M62" s="648"/>
      <c r="N62" s="2157"/>
      <c r="O62" s="2157"/>
      <c r="P62" s="2153"/>
      <c r="Q62" s="2153"/>
      <c r="R62" s="1988"/>
      <c r="S62" s="1988"/>
      <c r="T62" s="1988"/>
      <c r="U62" s="1988"/>
      <c r="V62" s="1988"/>
      <c r="W62" s="1988"/>
      <c r="X62" s="1988"/>
      <c r="Y62" s="1988"/>
      <c r="Z62" s="1988"/>
      <c r="AA62" s="1988"/>
      <c r="AB62" s="1988"/>
      <c r="AC62" s="1988"/>
    </row>
    <row r="63" spans="1:29">
      <c r="A63" s="660" t="s">
        <v>571</v>
      </c>
      <c r="B63" s="661" t="s">
        <v>528</v>
      </c>
      <c r="C63" s="700" t="str">
        <f>C9</f>
        <v>住宅</v>
      </c>
      <c r="D63" s="594"/>
      <c r="E63" s="594"/>
      <c r="F63" s="594"/>
      <c r="G63" s="594"/>
      <c r="H63" s="594"/>
      <c r="I63" s="594"/>
      <c r="J63" s="594"/>
      <c r="K63" s="662"/>
      <c r="L63" s="663"/>
      <c r="M63" s="664"/>
      <c r="N63" s="2159"/>
      <c r="O63" s="2159"/>
      <c r="P63" s="2160"/>
      <c r="Q63" s="2153"/>
      <c r="R63" s="2140"/>
      <c r="S63" s="2140"/>
      <c r="T63" s="2140"/>
      <c r="U63" s="2140"/>
      <c r="V63" s="2140"/>
      <c r="W63" s="2140"/>
      <c r="X63" s="2140"/>
      <c r="Y63" s="2140"/>
      <c r="Z63" s="2140"/>
      <c r="AA63" s="2140"/>
      <c r="AB63" s="2140"/>
      <c r="AC63" s="2140"/>
    </row>
    <row r="64" spans="1:29" ht="15.75" thickBot="1">
      <c r="A64" s="665"/>
      <c r="B64" s="666"/>
      <c r="C64" s="667"/>
      <c r="D64" s="667"/>
      <c r="E64" s="1604"/>
      <c r="F64" s="1604"/>
      <c r="G64" s="1604"/>
      <c r="H64" s="1604"/>
      <c r="I64" s="1604"/>
      <c r="J64" s="1604"/>
      <c r="K64" s="1604"/>
      <c r="L64" s="1604"/>
      <c r="M64" s="1605"/>
      <c r="N64" s="2161"/>
      <c r="O64" s="2161"/>
      <c r="P64" s="2160"/>
      <c r="Q64" s="2153"/>
      <c r="R64" s="2140"/>
      <c r="S64" s="2140"/>
      <c r="T64" s="2140"/>
      <c r="U64" s="2140"/>
      <c r="V64" s="2140"/>
      <c r="W64" s="2140"/>
      <c r="X64" s="2140"/>
      <c r="Y64" s="2140"/>
      <c r="Z64" s="2140"/>
      <c r="AA64" s="2140"/>
      <c r="AB64" s="2140"/>
      <c r="AC64" s="2140"/>
    </row>
    <row r="65" spans="1:29" ht="27.75" thickTop="1">
      <c r="A65" s="665"/>
      <c r="B65" s="669" t="s">
        <v>531</v>
      </c>
      <c r="C65" s="670" t="s">
        <v>730</v>
      </c>
      <c r="D65" s="670" t="s">
        <v>731</v>
      </c>
      <c r="E65" s="670" t="s">
        <v>732</v>
      </c>
      <c r="F65" s="670" t="s">
        <v>733</v>
      </c>
      <c r="G65" s="670" t="s">
        <v>734</v>
      </c>
      <c r="H65" s="670" t="s">
        <v>735</v>
      </c>
      <c r="I65" s="670" t="s">
        <v>736</v>
      </c>
      <c r="J65" s="670"/>
      <c r="K65" s="671"/>
      <c r="L65" s="672"/>
      <c r="M65" s="673"/>
      <c r="N65" s="2159"/>
      <c r="O65" s="2159"/>
      <c r="P65" s="2160"/>
      <c r="Q65" s="2153"/>
      <c r="R65" s="2140"/>
      <c r="S65" s="2140"/>
      <c r="T65" s="2140"/>
      <c r="U65" s="2140"/>
      <c r="V65" s="2140"/>
      <c r="W65" s="2140"/>
      <c r="X65" s="2140"/>
      <c r="Y65" s="2140"/>
      <c r="Z65" s="2140"/>
      <c r="AA65" s="2140"/>
      <c r="AB65" s="2140"/>
      <c r="AC65" s="2140"/>
    </row>
    <row r="66" spans="1:29" ht="15.75" thickBot="1">
      <c r="A66" s="665"/>
      <c r="B66" s="674"/>
      <c r="C66" s="675">
        <v>100</v>
      </c>
      <c r="D66" s="675">
        <f t="shared" ref="D66:I66" si="17">C66-$K10</f>
        <v>99</v>
      </c>
      <c r="E66" s="675">
        <f t="shared" si="17"/>
        <v>98</v>
      </c>
      <c r="F66" s="675">
        <f t="shared" si="17"/>
        <v>97</v>
      </c>
      <c r="G66" s="675">
        <f t="shared" si="17"/>
        <v>96</v>
      </c>
      <c r="H66" s="675">
        <f t="shared" si="17"/>
        <v>95</v>
      </c>
      <c r="I66" s="675">
        <f t="shared" si="17"/>
        <v>94</v>
      </c>
      <c r="J66" s="675"/>
      <c r="K66" s="675"/>
      <c r="L66" s="675"/>
      <c r="M66" s="676"/>
      <c r="N66" s="2161"/>
      <c r="O66" s="2161"/>
      <c r="P66" s="2160"/>
      <c r="Q66" s="2153"/>
      <c r="R66" s="2140"/>
      <c r="S66" s="2140"/>
      <c r="T66" s="2140"/>
      <c r="U66" s="2140"/>
      <c r="V66" s="2140"/>
      <c r="W66" s="2140"/>
      <c r="X66" s="2140"/>
      <c r="Y66" s="2140"/>
      <c r="Z66" s="2140"/>
      <c r="AA66" s="2140"/>
      <c r="AB66" s="2140"/>
      <c r="AC66" s="2140"/>
    </row>
    <row r="67" spans="1:29" ht="15.75" thickTop="1">
      <c r="A67" s="665"/>
      <c r="B67" s="677" t="s">
        <v>532</v>
      </c>
      <c r="C67" s="678" t="str">
        <f>C68&amp;"（含）"&amp;"-"&amp;D68</f>
        <v>0（含）-1</v>
      </c>
      <c r="D67" s="678" t="str">
        <f t="shared" ref="D67:L67" si="18">D68&amp;"（含）"&amp;"-"&amp;E68</f>
        <v>1（含）-2</v>
      </c>
      <c r="E67" s="678" t="str">
        <f t="shared" si="18"/>
        <v>2（含）-3</v>
      </c>
      <c r="F67" s="678" t="str">
        <f t="shared" si="18"/>
        <v>3（含）-4</v>
      </c>
      <c r="G67" s="678" t="str">
        <f t="shared" si="18"/>
        <v>4（含）-5</v>
      </c>
      <c r="H67" s="678" t="str">
        <f t="shared" si="18"/>
        <v>5（含）-</v>
      </c>
      <c r="I67" s="678" t="str">
        <f t="shared" si="18"/>
        <v>（含）-</v>
      </c>
      <c r="J67" s="678" t="str">
        <f t="shared" si="18"/>
        <v>（含）-</v>
      </c>
      <c r="K67" s="678" t="str">
        <f t="shared" si="18"/>
        <v>（含）-</v>
      </c>
      <c r="L67" s="678" t="str">
        <f t="shared" si="18"/>
        <v>（含）-</v>
      </c>
      <c r="M67" s="551" t="str">
        <f>M68&amp;"（含）"&amp;"-"&amp;P68</f>
        <v>（含）-</v>
      </c>
      <c r="N67" s="2161"/>
      <c r="O67" s="2161"/>
      <c r="P67" s="2160"/>
      <c r="Q67" s="2153"/>
      <c r="R67" s="2140"/>
      <c r="S67" s="2140"/>
      <c r="T67" s="2140"/>
      <c r="U67" s="2140"/>
      <c r="V67" s="2140"/>
      <c r="W67" s="2140"/>
      <c r="X67" s="2140"/>
      <c r="Y67" s="2140"/>
      <c r="Z67" s="2140"/>
      <c r="AA67" s="2140"/>
      <c r="AB67" s="2140"/>
      <c r="AC67" s="2140"/>
    </row>
    <row r="68" spans="1:29" ht="15">
      <c r="A68" s="665"/>
      <c r="B68" s="679"/>
      <c r="C68" s="537">
        <v>0</v>
      </c>
      <c r="D68" s="537">
        <v>1</v>
      </c>
      <c r="E68" s="537">
        <v>2</v>
      </c>
      <c r="F68" s="537">
        <v>3</v>
      </c>
      <c r="G68" s="537">
        <v>4</v>
      </c>
      <c r="H68" s="537">
        <v>5</v>
      </c>
      <c r="I68" s="537"/>
      <c r="J68" s="537"/>
      <c r="K68" s="680"/>
      <c r="L68" s="681"/>
      <c r="M68" s="682"/>
      <c r="N68" s="2159"/>
      <c r="O68" s="2159"/>
      <c r="P68" s="2160"/>
      <c r="Q68" s="2153"/>
      <c r="R68" s="2140"/>
      <c r="S68" s="2140"/>
      <c r="T68" s="2140"/>
      <c r="U68" s="2140"/>
      <c r="V68" s="2140"/>
      <c r="W68" s="2140"/>
      <c r="X68" s="2140"/>
      <c r="Y68" s="2140"/>
      <c r="Z68" s="2140"/>
      <c r="AA68" s="2140"/>
      <c r="AB68" s="2140"/>
      <c r="AC68" s="2140"/>
    </row>
    <row r="69" spans="1:29" ht="15.75" thickBot="1">
      <c r="A69" s="665"/>
      <c r="B69" s="666"/>
      <c r="C69" s="675">
        <v>100</v>
      </c>
      <c r="D69" s="675">
        <f t="shared" ref="D69:M69" si="19">C69-$K11</f>
        <v>99</v>
      </c>
      <c r="E69" s="675">
        <f t="shared" si="19"/>
        <v>98</v>
      </c>
      <c r="F69" s="675">
        <f t="shared" si="19"/>
        <v>97</v>
      </c>
      <c r="G69" s="675">
        <f t="shared" si="19"/>
        <v>96</v>
      </c>
      <c r="H69" s="675">
        <f t="shared" si="19"/>
        <v>95</v>
      </c>
      <c r="I69" s="675">
        <f t="shared" si="19"/>
        <v>94</v>
      </c>
      <c r="J69" s="675">
        <f t="shared" si="19"/>
        <v>93</v>
      </c>
      <c r="K69" s="675">
        <f t="shared" si="19"/>
        <v>92</v>
      </c>
      <c r="L69" s="675">
        <f t="shared" si="19"/>
        <v>91</v>
      </c>
      <c r="M69" s="676">
        <f t="shared" si="19"/>
        <v>90</v>
      </c>
      <c r="N69" s="2161"/>
      <c r="O69" s="2161"/>
      <c r="P69" s="2160"/>
      <c r="Q69" s="2153"/>
      <c r="R69" s="2140"/>
      <c r="S69" s="2140"/>
      <c r="T69" s="2140"/>
      <c r="U69" s="2140"/>
      <c r="V69" s="2140"/>
      <c r="W69" s="2140"/>
      <c r="X69" s="2140"/>
      <c r="Y69" s="2140"/>
      <c r="Z69" s="2140"/>
      <c r="AA69" s="2140"/>
      <c r="AB69" s="2140"/>
      <c r="AC69" s="2140"/>
    </row>
    <row r="70" spans="1:29" s="1334" customFormat="1" ht="15.75" thickTop="1">
      <c r="A70" s="683"/>
      <c r="B70" s="669">
        <f>B12</f>
        <v>111</v>
      </c>
      <c r="C70" s="684"/>
      <c r="D70" s="684"/>
      <c r="E70" s="684"/>
      <c r="F70" s="684"/>
      <c r="G70" s="684"/>
      <c r="H70" s="685"/>
      <c r="I70" s="685"/>
      <c r="J70" s="685"/>
      <c r="K70" s="685"/>
      <c r="L70" s="686"/>
      <c r="M70" s="687"/>
      <c r="N70" s="2162"/>
      <c r="O70" s="2162"/>
      <c r="P70" s="2163"/>
      <c r="Q70" s="2164"/>
      <c r="R70" s="2165"/>
      <c r="S70" s="2165"/>
      <c r="T70" s="2165"/>
      <c r="U70" s="2165"/>
      <c r="V70" s="2165"/>
      <c r="W70" s="2165"/>
      <c r="X70" s="2165"/>
      <c r="Y70" s="2165"/>
      <c r="Z70" s="2165"/>
      <c r="AA70" s="2165"/>
      <c r="AB70" s="2165"/>
      <c r="AC70" s="2165"/>
    </row>
    <row r="71" spans="1:29" s="1334" customFormat="1" ht="15.75" thickBot="1">
      <c r="A71" s="683"/>
      <c r="B71" s="674"/>
      <c r="C71" s="688"/>
      <c r="D71" s="667"/>
      <c r="E71" s="667"/>
      <c r="F71" s="667"/>
      <c r="G71" s="667"/>
      <c r="H71" s="667"/>
      <c r="I71" s="667"/>
      <c r="J71" s="667"/>
      <c r="K71" s="667"/>
      <c r="L71" s="667"/>
      <c r="M71" s="668"/>
      <c r="N71" s="2161"/>
      <c r="O71" s="2161"/>
      <c r="P71" s="2163"/>
      <c r="Q71" s="2164"/>
      <c r="R71" s="2165"/>
      <c r="S71" s="2165"/>
      <c r="T71" s="2165"/>
      <c r="U71" s="2165"/>
      <c r="V71" s="2165"/>
      <c r="W71" s="2165"/>
      <c r="X71" s="2165"/>
      <c r="Y71" s="2165"/>
      <c r="Z71" s="2165"/>
      <c r="AA71" s="2165"/>
      <c r="AB71" s="2165"/>
      <c r="AC71" s="2165"/>
    </row>
    <row r="72" spans="1:29" s="1334" customFormat="1" ht="15.75" thickTop="1">
      <c r="A72" s="683"/>
      <c r="B72" s="669">
        <f>B13</f>
        <v>111</v>
      </c>
      <c r="C72" s="684"/>
      <c r="D72" s="684"/>
      <c r="E72" s="684"/>
      <c r="F72" s="684"/>
      <c r="G72" s="684"/>
      <c r="H72" s="685"/>
      <c r="I72" s="685"/>
      <c r="J72" s="685"/>
      <c r="K72" s="685"/>
      <c r="L72" s="686"/>
      <c r="M72" s="687"/>
      <c r="N72" s="2162"/>
      <c r="O72" s="2162"/>
      <c r="P72" s="2166"/>
      <c r="Q72" s="2167"/>
      <c r="R72" s="2165"/>
      <c r="S72" s="2165"/>
      <c r="T72" s="2165"/>
      <c r="U72" s="2165"/>
      <c r="V72" s="2165"/>
      <c r="W72" s="2165"/>
      <c r="X72" s="2165"/>
      <c r="Y72" s="2165"/>
      <c r="Z72" s="2165"/>
      <c r="AA72" s="2165"/>
      <c r="AB72" s="2165"/>
      <c r="AC72" s="2165"/>
    </row>
    <row r="73" spans="1:29" s="1334" customFormat="1" ht="15.75" thickBot="1">
      <c r="A73" s="683"/>
      <c r="B73" s="674"/>
      <c r="C73" s="688"/>
      <c r="D73" s="688"/>
      <c r="E73" s="688"/>
      <c r="F73" s="688"/>
      <c r="G73" s="688"/>
      <c r="H73" s="689"/>
      <c r="I73" s="689"/>
      <c r="J73" s="689"/>
      <c r="K73" s="689"/>
      <c r="L73" s="689"/>
      <c r="M73" s="690"/>
      <c r="N73" s="2162"/>
      <c r="O73" s="2162"/>
      <c r="P73" s="2163"/>
      <c r="Q73" s="2164"/>
      <c r="R73" s="2165"/>
      <c r="S73" s="2165"/>
      <c r="T73" s="2165"/>
      <c r="U73" s="2165"/>
      <c r="V73" s="2165"/>
      <c r="W73" s="2165"/>
      <c r="X73" s="2165"/>
      <c r="Y73" s="2165"/>
      <c r="Z73" s="2165"/>
      <c r="AA73" s="2165"/>
      <c r="AB73" s="2165"/>
      <c r="AC73" s="2165"/>
    </row>
    <row r="74" spans="1:29" s="1334" customFormat="1" ht="15.75" thickTop="1">
      <c r="A74" s="683"/>
      <c r="B74" s="677">
        <f>B14</f>
        <v>111</v>
      </c>
      <c r="C74" s="684"/>
      <c r="D74" s="684"/>
      <c r="E74" s="684"/>
      <c r="F74" s="684"/>
      <c r="G74" s="657"/>
      <c r="H74" s="691"/>
      <c r="I74" s="691"/>
      <c r="J74" s="691"/>
      <c r="K74" s="691"/>
      <c r="L74" s="692"/>
      <c r="M74" s="693"/>
      <c r="N74" s="2162"/>
      <c r="O74" s="2162"/>
      <c r="P74" s="2168"/>
      <c r="Q74" s="2164"/>
      <c r="R74" s="2165"/>
      <c r="S74" s="2165"/>
      <c r="T74" s="2165"/>
      <c r="U74" s="2165"/>
      <c r="V74" s="2165"/>
      <c r="W74" s="2165"/>
      <c r="X74" s="2165"/>
      <c r="Y74" s="2165"/>
      <c r="Z74" s="2165"/>
      <c r="AA74" s="2165"/>
      <c r="AB74" s="2165"/>
      <c r="AC74" s="2165"/>
    </row>
    <row r="75" spans="1:29" s="1334" customFormat="1" ht="15.75" thickBot="1">
      <c r="A75" s="694"/>
      <c r="B75" s="695"/>
      <c r="C75" s="696"/>
      <c r="D75" s="696"/>
      <c r="E75" s="696"/>
      <c r="F75" s="696"/>
      <c r="G75" s="696"/>
      <c r="H75" s="697"/>
      <c r="I75" s="697"/>
      <c r="J75" s="697"/>
      <c r="K75" s="697"/>
      <c r="L75" s="697"/>
      <c r="M75" s="698"/>
      <c r="N75" s="2162"/>
      <c r="O75" s="2162"/>
      <c r="P75" s="2163"/>
      <c r="Q75" s="2164"/>
      <c r="R75" s="2165"/>
      <c r="S75" s="2165"/>
      <c r="T75" s="2165"/>
      <c r="U75" s="2165"/>
      <c r="V75" s="2165"/>
      <c r="W75" s="2165"/>
      <c r="X75" s="2165"/>
      <c r="Y75" s="2165"/>
      <c r="Z75" s="2165"/>
      <c r="AA75" s="2165"/>
      <c r="AB75" s="2165"/>
      <c r="AC75" s="2165"/>
    </row>
    <row r="76" spans="1:29">
      <c r="A76" s="660" t="s">
        <v>533</v>
      </c>
      <c r="B76" s="661" t="s">
        <v>572</v>
      </c>
      <c r="C76" s="699" t="s">
        <v>573</v>
      </c>
      <c r="D76" s="699" t="s">
        <v>574</v>
      </c>
      <c r="E76" s="699" t="s">
        <v>575</v>
      </c>
      <c r="F76" s="699" t="s">
        <v>576</v>
      </c>
      <c r="G76" s="699" t="s">
        <v>577</v>
      </c>
      <c r="H76" s="700"/>
      <c r="I76" s="700"/>
      <c r="J76" s="700"/>
      <c r="K76" s="701"/>
      <c r="L76" s="702"/>
      <c r="M76" s="703"/>
      <c r="N76" s="2159"/>
      <c r="O76" s="2159"/>
      <c r="P76" s="2169"/>
      <c r="Q76" s="2153"/>
      <c r="R76" s="2140"/>
      <c r="S76" s="2140"/>
      <c r="T76" s="2140"/>
      <c r="U76" s="2140"/>
      <c r="V76" s="2140"/>
      <c r="W76" s="2140"/>
      <c r="X76" s="2140"/>
      <c r="Y76" s="2140"/>
      <c r="Z76" s="2140"/>
      <c r="AA76" s="2140"/>
      <c r="AB76" s="2140"/>
      <c r="AC76" s="2140"/>
    </row>
    <row r="77" spans="1:29" ht="15.75" thickBot="1">
      <c r="A77" s="665"/>
      <c r="B77" s="674"/>
      <c r="C77" s="675">
        <v>100</v>
      </c>
      <c r="D77" s="675">
        <f>C77-$K15</f>
        <v>95</v>
      </c>
      <c r="E77" s="675">
        <f>D77-$K15</f>
        <v>90</v>
      </c>
      <c r="F77" s="675">
        <f>E77-$K15</f>
        <v>85</v>
      </c>
      <c r="G77" s="675">
        <f>F77-$K15</f>
        <v>80</v>
      </c>
      <c r="H77" s="675"/>
      <c r="I77" s="675"/>
      <c r="J77" s="675"/>
      <c r="K77" s="675"/>
      <c r="L77" s="675"/>
      <c r="M77" s="676"/>
      <c r="N77" s="2161"/>
      <c r="O77" s="2161"/>
      <c r="P77" s="2160"/>
      <c r="Q77" s="2153"/>
      <c r="R77" s="2140"/>
      <c r="S77" s="2140"/>
      <c r="T77" s="2140"/>
      <c r="U77" s="2140"/>
      <c r="V77" s="2140"/>
      <c r="W77" s="2140"/>
      <c r="X77" s="2140"/>
      <c r="Y77" s="2140"/>
      <c r="Z77" s="2140"/>
      <c r="AA77" s="2140"/>
      <c r="AB77" s="2140"/>
      <c r="AC77" s="2140"/>
    </row>
    <row r="78" spans="1:29" ht="15.75" thickTop="1">
      <c r="A78" s="665"/>
      <c r="B78" s="669" t="s">
        <v>580</v>
      </c>
      <c r="C78" s="704" t="s">
        <v>573</v>
      </c>
      <c r="D78" s="704" t="s">
        <v>574</v>
      </c>
      <c r="E78" s="704" t="s">
        <v>575</v>
      </c>
      <c r="F78" s="704" t="s">
        <v>576</v>
      </c>
      <c r="G78" s="704" t="s">
        <v>577</v>
      </c>
      <c r="H78" s="670"/>
      <c r="I78" s="670"/>
      <c r="J78" s="670"/>
      <c r="K78" s="671"/>
      <c r="L78" s="672"/>
      <c r="M78" s="673"/>
      <c r="N78" s="2159"/>
      <c r="O78" s="2159"/>
      <c r="P78" s="2160"/>
      <c r="Q78" s="2153"/>
      <c r="R78" s="2140"/>
      <c r="S78" s="2140"/>
      <c r="T78" s="2140"/>
      <c r="U78" s="2140"/>
      <c r="V78" s="2140"/>
      <c r="W78" s="2140"/>
      <c r="X78" s="2140"/>
      <c r="Y78" s="2140"/>
      <c r="Z78" s="2140"/>
      <c r="AA78" s="2140"/>
      <c r="AB78" s="2140"/>
      <c r="AC78" s="2140"/>
    </row>
    <row r="79" spans="1:29" ht="15.75" thickBot="1">
      <c r="A79" s="665"/>
      <c r="B79" s="674"/>
      <c r="C79" s="675">
        <v>100</v>
      </c>
      <c r="D79" s="675">
        <f>C79-$K17</f>
        <v>98</v>
      </c>
      <c r="E79" s="675">
        <f>D79-$K17</f>
        <v>96</v>
      </c>
      <c r="F79" s="675">
        <f>E79-$K17</f>
        <v>94</v>
      </c>
      <c r="G79" s="675">
        <f>F79-$K17</f>
        <v>92</v>
      </c>
      <c r="H79" s="675"/>
      <c r="I79" s="675"/>
      <c r="J79" s="675"/>
      <c r="K79" s="675"/>
      <c r="L79" s="675"/>
      <c r="M79" s="676"/>
      <c r="N79" s="2161"/>
      <c r="O79" s="2161"/>
      <c r="P79" s="2160"/>
      <c r="Q79" s="2153"/>
      <c r="R79" s="2140"/>
      <c r="S79" s="2140"/>
      <c r="T79" s="2140"/>
      <c r="U79" s="2140"/>
      <c r="V79" s="2140"/>
      <c r="W79" s="2140"/>
      <c r="X79" s="2140"/>
      <c r="Y79" s="2140"/>
      <c r="Z79" s="2140"/>
      <c r="AA79" s="2140"/>
      <c r="AB79" s="2140"/>
      <c r="AC79" s="2140"/>
    </row>
    <row r="80" spans="1:29" ht="15.75" thickTop="1">
      <c r="A80" s="665"/>
      <c r="B80" s="1891" t="s">
        <v>2554</v>
      </c>
      <c r="C80" s="704" t="s">
        <v>573</v>
      </c>
      <c r="D80" s="704" t="s">
        <v>574</v>
      </c>
      <c r="E80" s="704" t="s">
        <v>575</v>
      </c>
      <c r="F80" s="704" t="s">
        <v>576</v>
      </c>
      <c r="G80" s="704" t="s">
        <v>577</v>
      </c>
      <c r="H80" s="670"/>
      <c r="I80" s="670"/>
      <c r="J80" s="670"/>
      <c r="K80" s="671"/>
      <c r="L80" s="672"/>
      <c r="M80" s="673"/>
      <c r="N80" s="2159"/>
      <c r="O80" s="2159"/>
      <c r="P80" s="2160"/>
      <c r="Q80" s="2153"/>
      <c r="R80" s="2140"/>
      <c r="S80" s="2140"/>
      <c r="T80" s="2140"/>
      <c r="U80" s="2140"/>
      <c r="V80" s="2140"/>
      <c r="W80" s="2140"/>
      <c r="X80" s="2140"/>
      <c r="Y80" s="2140"/>
      <c r="Z80" s="2140"/>
      <c r="AA80" s="2140"/>
      <c r="AB80" s="2140"/>
      <c r="AC80" s="2140"/>
    </row>
    <row r="81" spans="1:29" ht="15.75" thickBot="1">
      <c r="A81" s="665"/>
      <c r="B81" s="674"/>
      <c r="C81" s="675">
        <v>100</v>
      </c>
      <c r="D81" s="675">
        <f>C81-$K19</f>
        <v>98</v>
      </c>
      <c r="E81" s="675">
        <f>D81-$K19</f>
        <v>96</v>
      </c>
      <c r="F81" s="675">
        <f>E81-$K19</f>
        <v>94</v>
      </c>
      <c r="G81" s="675">
        <f>F81-$K19</f>
        <v>92</v>
      </c>
      <c r="H81" s="675"/>
      <c r="I81" s="675"/>
      <c r="J81" s="675"/>
      <c r="K81" s="675"/>
      <c r="L81" s="675"/>
      <c r="M81" s="676"/>
      <c r="N81" s="2161"/>
      <c r="O81" s="2161"/>
      <c r="P81" s="2160"/>
      <c r="Q81" s="2153"/>
      <c r="R81" s="2140"/>
      <c r="S81" s="2140"/>
      <c r="T81" s="2140"/>
      <c r="U81" s="2140"/>
      <c r="V81" s="2140"/>
      <c r="W81" s="2140"/>
      <c r="X81" s="2140"/>
      <c r="Y81" s="2140"/>
      <c r="Z81" s="2140"/>
      <c r="AA81" s="2140"/>
      <c r="AB81" s="2140"/>
      <c r="AC81" s="2140"/>
    </row>
    <row r="82" spans="1:29" ht="15.75" thickTop="1">
      <c r="A82" s="665"/>
      <c r="B82" s="2616" t="s">
        <v>2555</v>
      </c>
      <c r="C82" s="2617" t="s">
        <v>2556</v>
      </c>
      <c r="D82" s="2617" t="s">
        <v>2557</v>
      </c>
      <c r="E82" s="2617" t="s">
        <v>2558</v>
      </c>
      <c r="F82" s="2617" t="s">
        <v>2559</v>
      </c>
      <c r="G82" s="2617" t="s">
        <v>2560</v>
      </c>
      <c r="H82" s="670"/>
      <c r="I82" s="670"/>
      <c r="J82" s="670"/>
      <c r="K82" s="670"/>
      <c r="L82" s="670"/>
      <c r="M82" s="2620"/>
      <c r="N82" s="2161"/>
      <c r="O82" s="2161"/>
      <c r="P82" s="2160"/>
      <c r="Q82" s="2153"/>
      <c r="R82" s="2140"/>
      <c r="S82" s="2140"/>
      <c r="T82" s="2140"/>
      <c r="U82" s="2140"/>
      <c r="V82" s="2140"/>
      <c r="W82" s="2140"/>
      <c r="X82" s="2140"/>
      <c r="Y82" s="2140"/>
      <c r="Z82" s="2140"/>
      <c r="AA82" s="2140"/>
      <c r="AB82" s="2140"/>
      <c r="AC82" s="2140"/>
    </row>
    <row r="83" spans="1:29" ht="15.75" thickBot="1">
      <c r="A83" s="665"/>
      <c r="B83" s="677"/>
      <c r="C83" s="675">
        <v>100</v>
      </c>
      <c r="D83" s="675">
        <f>C83-$K21</f>
        <v>99</v>
      </c>
      <c r="E83" s="675">
        <f>D83-$K21</f>
        <v>98</v>
      </c>
      <c r="F83" s="675">
        <f>E83-$K21</f>
        <v>97</v>
      </c>
      <c r="G83" s="675">
        <f>F83-$K21</f>
        <v>96</v>
      </c>
      <c r="H83" s="930"/>
      <c r="I83" s="930"/>
      <c r="J83" s="930"/>
      <c r="K83" s="930"/>
      <c r="L83" s="930"/>
      <c r="M83" s="555"/>
      <c r="N83" s="2161"/>
      <c r="O83" s="2161"/>
      <c r="P83" s="2160"/>
      <c r="Q83" s="2153"/>
      <c r="R83" s="2140"/>
      <c r="S83" s="2140"/>
      <c r="T83" s="2140"/>
      <c r="U83" s="2140"/>
      <c r="V83" s="2140"/>
      <c r="W83" s="2140"/>
      <c r="X83" s="2140"/>
      <c r="Y83" s="2140"/>
      <c r="Z83" s="2140"/>
      <c r="AA83" s="2140"/>
      <c r="AB83" s="2140"/>
      <c r="AC83" s="2140"/>
    </row>
    <row r="84" spans="1:29" ht="15.75" thickTop="1">
      <c r="A84" s="665"/>
      <c r="B84" s="669" t="s">
        <v>737</v>
      </c>
      <c r="C84" s="704" t="s">
        <v>573</v>
      </c>
      <c r="D84" s="704" t="s">
        <v>574</v>
      </c>
      <c r="E84" s="704" t="s">
        <v>575</v>
      </c>
      <c r="F84" s="704" t="s">
        <v>576</v>
      </c>
      <c r="G84" s="704" t="s">
        <v>577</v>
      </c>
      <c r="H84" s="670"/>
      <c r="I84" s="670"/>
      <c r="J84" s="670"/>
      <c r="K84" s="671"/>
      <c r="L84" s="672"/>
      <c r="M84" s="673"/>
      <c r="N84" s="2159"/>
      <c r="O84" s="2159"/>
      <c r="P84" s="2160"/>
      <c r="Q84" s="2153"/>
      <c r="R84" s="2140"/>
      <c r="S84" s="2140"/>
      <c r="T84" s="2140"/>
      <c r="U84" s="2140"/>
      <c r="V84" s="2140"/>
      <c r="W84" s="2140"/>
      <c r="X84" s="2140"/>
      <c r="Y84" s="2140"/>
      <c r="Z84" s="2140"/>
      <c r="AA84" s="2140"/>
      <c r="AB84" s="2140"/>
      <c r="AC84" s="2140"/>
    </row>
    <row r="85" spans="1:29" ht="15.75" thickBot="1">
      <c r="A85" s="665"/>
      <c r="B85" s="674"/>
      <c r="C85" s="675">
        <v>100</v>
      </c>
      <c r="D85" s="675">
        <f>C85-$K23</f>
        <v>98</v>
      </c>
      <c r="E85" s="675">
        <f>D85-$K23</f>
        <v>96</v>
      </c>
      <c r="F85" s="675">
        <f>E85-$K23</f>
        <v>94</v>
      </c>
      <c r="G85" s="675">
        <f>F85-$K23</f>
        <v>92</v>
      </c>
      <c r="H85" s="675"/>
      <c r="I85" s="675"/>
      <c r="J85" s="675"/>
      <c r="K85" s="675"/>
      <c r="L85" s="675"/>
      <c r="M85" s="676"/>
      <c r="N85" s="2161"/>
      <c r="O85" s="2161"/>
      <c r="P85" s="2160"/>
      <c r="Q85" s="2153"/>
      <c r="R85" s="2140"/>
      <c r="S85" s="2140"/>
      <c r="T85" s="2140"/>
      <c r="U85" s="2140"/>
      <c r="V85" s="2140"/>
      <c r="W85" s="2140"/>
      <c r="X85" s="2140"/>
      <c r="Y85" s="2140"/>
      <c r="Z85" s="2140"/>
      <c r="AA85" s="2140"/>
      <c r="AB85" s="2140"/>
      <c r="AC85" s="2140"/>
    </row>
    <row r="86" spans="1:29" s="1215" customFormat="1" ht="15.75" thickTop="1">
      <c r="A86" s="705"/>
      <c r="B86" s="1891" t="s">
        <v>2252</v>
      </c>
      <c r="C86" s="684"/>
      <c r="D86" s="684"/>
      <c r="E86" s="684"/>
      <c r="F86" s="684"/>
      <c r="G86" s="684"/>
      <c r="H86" s="684"/>
      <c r="I86" s="684"/>
      <c r="J86" s="684"/>
      <c r="K86" s="684"/>
      <c r="L86" s="885"/>
      <c r="M86" s="886"/>
      <c r="N86" s="2157"/>
      <c r="O86" s="2157"/>
      <c r="P86" s="2160"/>
      <c r="Q86" s="2153"/>
      <c r="R86" s="1988"/>
      <c r="S86" s="1988"/>
      <c r="T86" s="1988"/>
      <c r="U86" s="1988"/>
      <c r="V86" s="1988"/>
      <c r="W86" s="1988"/>
      <c r="X86" s="1988"/>
      <c r="Y86" s="1988"/>
      <c r="Z86" s="1988"/>
      <c r="AA86" s="1988"/>
      <c r="AB86" s="1988"/>
      <c r="AC86" s="1988"/>
    </row>
    <row r="87" spans="1:29" s="1215" customFormat="1" ht="15.75" thickBot="1">
      <c r="A87" s="705"/>
      <c r="B87" s="674"/>
      <c r="C87" s="708">
        <v>100</v>
      </c>
      <c r="D87" s="675">
        <f>$C$87-($C$86-D86)*$K$25</f>
        <v>100</v>
      </c>
      <c r="E87" s="675">
        <f t="shared" ref="E87:M87" si="20">$C$87-($C$86-E86)*$K$25</f>
        <v>100</v>
      </c>
      <c r="F87" s="675">
        <f t="shared" si="20"/>
        <v>100</v>
      </c>
      <c r="G87" s="675">
        <f t="shared" si="20"/>
        <v>100</v>
      </c>
      <c r="H87" s="675">
        <f t="shared" si="20"/>
        <v>100</v>
      </c>
      <c r="I87" s="675">
        <f t="shared" si="20"/>
        <v>100</v>
      </c>
      <c r="J87" s="675">
        <f t="shared" si="20"/>
        <v>100</v>
      </c>
      <c r="K87" s="675">
        <f t="shared" si="20"/>
        <v>100</v>
      </c>
      <c r="L87" s="675">
        <f t="shared" si="20"/>
        <v>100</v>
      </c>
      <c r="M87" s="675">
        <f t="shared" si="20"/>
        <v>100</v>
      </c>
      <c r="N87" s="2161"/>
      <c r="O87" s="2161"/>
      <c r="P87" s="2160"/>
      <c r="Q87" s="2153"/>
      <c r="R87" s="1988"/>
      <c r="S87" s="1988"/>
      <c r="T87" s="1988"/>
      <c r="U87" s="1988"/>
      <c r="V87" s="1988"/>
      <c r="W87" s="1988"/>
      <c r="X87" s="1988"/>
      <c r="Y87" s="1988"/>
      <c r="Z87" s="1988"/>
      <c r="AA87" s="1988"/>
      <c r="AB87" s="1988"/>
      <c r="AC87" s="1988"/>
    </row>
    <row r="88" spans="1:29" s="1215" customFormat="1" ht="15.75" thickTop="1">
      <c r="A88" s="705"/>
      <c r="B88" s="669" t="s">
        <v>739</v>
      </c>
      <c r="C88" s="684"/>
      <c r="D88" s="684"/>
      <c r="E88" s="684"/>
      <c r="F88" s="887"/>
      <c r="G88" s="684"/>
      <c r="H88" s="684"/>
      <c r="I88" s="684"/>
      <c r="J88" s="684"/>
      <c r="K88" s="684"/>
      <c r="L88" s="684"/>
      <c r="M88" s="886"/>
      <c r="N88" s="2157"/>
      <c r="O88" s="2157"/>
      <c r="P88" s="2160"/>
      <c r="Q88" s="2153"/>
      <c r="R88" s="1988"/>
      <c r="S88" s="1988"/>
      <c r="T88" s="1988"/>
      <c r="U88" s="1988"/>
      <c r="V88" s="1988"/>
      <c r="W88" s="1988"/>
      <c r="X88" s="1988"/>
      <c r="Y88" s="1988"/>
      <c r="Z88" s="1988"/>
      <c r="AA88" s="1988"/>
      <c r="AB88" s="1988"/>
      <c r="AC88" s="1988"/>
    </row>
    <row r="89" spans="1:29" s="1215" customFormat="1" ht="15.75" thickBot="1">
      <c r="A89" s="705"/>
      <c r="B89" s="674"/>
      <c r="C89" s="708">
        <v>100</v>
      </c>
      <c r="D89" s="675">
        <f t="shared" ref="D89:M89" si="21">C89-$K26</f>
        <v>100</v>
      </c>
      <c r="E89" s="675">
        <f t="shared" si="21"/>
        <v>100</v>
      </c>
      <c r="F89" s="675">
        <f t="shared" si="21"/>
        <v>100</v>
      </c>
      <c r="G89" s="675">
        <f t="shared" si="21"/>
        <v>100</v>
      </c>
      <c r="H89" s="675">
        <f t="shared" si="21"/>
        <v>100</v>
      </c>
      <c r="I89" s="675">
        <f t="shared" si="21"/>
        <v>100</v>
      </c>
      <c r="J89" s="675">
        <f t="shared" si="21"/>
        <v>100</v>
      </c>
      <c r="K89" s="675">
        <f t="shared" si="21"/>
        <v>100</v>
      </c>
      <c r="L89" s="675">
        <f t="shared" si="21"/>
        <v>100</v>
      </c>
      <c r="M89" s="675">
        <f t="shared" si="21"/>
        <v>100</v>
      </c>
      <c r="N89" s="2161"/>
      <c r="O89" s="2161"/>
      <c r="P89" s="2160"/>
      <c r="Q89" s="2153"/>
      <c r="R89" s="1988"/>
      <c r="S89" s="1988"/>
      <c r="T89" s="1988"/>
      <c r="U89" s="1988"/>
      <c r="V89" s="1988"/>
      <c r="W89" s="1988"/>
      <c r="X89" s="1988"/>
      <c r="Y89" s="1988"/>
      <c r="Z89" s="1988"/>
      <c r="AA89" s="1988"/>
      <c r="AB89" s="1988"/>
      <c r="AC89" s="1988"/>
    </row>
    <row r="90" spans="1:29" s="1334" customFormat="1" ht="15.75" thickTop="1">
      <c r="A90" s="683"/>
      <c r="B90" s="669" t="str">
        <f>B27</f>
        <v>道路级别</v>
      </c>
      <c r="C90" s="684" t="s">
        <v>3010</v>
      </c>
      <c r="D90" s="684" t="s">
        <v>3011</v>
      </c>
      <c r="E90" s="684" t="s">
        <v>3012</v>
      </c>
      <c r="F90" s="684" t="s">
        <v>3013</v>
      </c>
      <c r="G90" s="684" t="s">
        <v>3014</v>
      </c>
      <c r="H90" s="685"/>
      <c r="I90" s="685"/>
      <c r="J90" s="685"/>
      <c r="K90" s="685"/>
      <c r="L90" s="686"/>
      <c r="M90" s="687"/>
      <c r="N90" s="2162"/>
      <c r="O90" s="2162"/>
      <c r="P90" s="2163"/>
      <c r="Q90" s="2164"/>
      <c r="R90" s="2165"/>
      <c r="S90" s="2165"/>
      <c r="T90" s="2165"/>
      <c r="U90" s="2165"/>
      <c r="V90" s="2165"/>
      <c r="W90" s="2165"/>
      <c r="X90" s="2165"/>
      <c r="Y90" s="2165"/>
      <c r="Z90" s="2165"/>
      <c r="AA90" s="2165"/>
      <c r="AB90" s="2165"/>
      <c r="AC90" s="2165"/>
    </row>
    <row r="91" spans="1:29" s="1334" customFormat="1" ht="15.75" thickBot="1">
      <c r="A91" s="683"/>
      <c r="B91" s="674"/>
      <c r="C91" s="688">
        <v>100</v>
      </c>
      <c r="D91" s="688">
        <v>99</v>
      </c>
      <c r="E91" s="688">
        <v>98</v>
      </c>
      <c r="F91" s="688">
        <v>97</v>
      </c>
      <c r="G91" s="688">
        <v>96</v>
      </c>
      <c r="H91" s="689"/>
      <c r="I91" s="689"/>
      <c r="J91" s="689"/>
      <c r="K91" s="689"/>
      <c r="L91" s="689"/>
      <c r="M91" s="690"/>
      <c r="N91" s="2162"/>
      <c r="O91" s="2162"/>
      <c r="P91" s="2163"/>
      <c r="Q91" s="2164"/>
      <c r="R91" s="2165"/>
      <c r="S91" s="2165"/>
      <c r="T91" s="2165"/>
      <c r="U91" s="2165"/>
      <c r="V91" s="2165"/>
      <c r="W91" s="2165"/>
      <c r="X91" s="2165"/>
      <c r="Y91" s="2165"/>
      <c r="Z91" s="2165"/>
      <c r="AA91" s="2165"/>
      <c r="AB91" s="2165"/>
      <c r="AC91" s="2165"/>
    </row>
    <row r="92" spans="1:29" ht="15.75" thickTop="1">
      <c r="A92" s="665"/>
      <c r="B92" s="669">
        <f>B28</f>
        <v>111</v>
      </c>
      <c r="C92" s="684"/>
      <c r="D92" s="684"/>
      <c r="E92" s="684"/>
      <c r="F92" s="684"/>
      <c r="G92" s="714"/>
      <c r="H92" s="714"/>
      <c r="I92" s="714"/>
      <c r="J92" s="714"/>
      <c r="K92" s="715"/>
      <c r="L92" s="716"/>
      <c r="M92" s="717"/>
      <c r="N92" s="2159"/>
      <c r="O92" s="2159"/>
      <c r="P92" s="2160"/>
      <c r="Q92" s="2153"/>
      <c r="R92" s="2140"/>
      <c r="S92" s="2140"/>
      <c r="T92" s="2140"/>
      <c r="U92" s="2140"/>
      <c r="V92" s="2140"/>
      <c r="W92" s="2140"/>
      <c r="X92" s="2140"/>
      <c r="Y92" s="2140"/>
      <c r="Z92" s="2140"/>
      <c r="AA92" s="2140"/>
      <c r="AB92" s="2140"/>
      <c r="AC92" s="2140"/>
    </row>
    <row r="93" spans="1:29" ht="15.75" thickBot="1">
      <c r="A93" s="665"/>
      <c r="B93" s="674"/>
      <c r="C93" s="688"/>
      <c r="D93" s="667"/>
      <c r="E93" s="667"/>
      <c r="F93" s="667"/>
      <c r="G93" s="667"/>
      <c r="H93" s="667"/>
      <c r="I93" s="667"/>
      <c r="J93" s="667"/>
      <c r="K93" s="667"/>
      <c r="L93" s="667"/>
      <c r="M93" s="668"/>
      <c r="N93" s="2161"/>
      <c r="O93" s="2161"/>
      <c r="P93" s="2160"/>
      <c r="Q93" s="2153"/>
      <c r="R93" s="2140"/>
      <c r="S93" s="2140"/>
      <c r="T93" s="2140"/>
      <c r="U93" s="2140"/>
      <c r="V93" s="2140"/>
      <c r="W93" s="2140"/>
      <c r="X93" s="2140"/>
      <c r="Y93" s="2140"/>
      <c r="Z93" s="2140"/>
      <c r="AA93" s="2140"/>
      <c r="AB93" s="2140"/>
      <c r="AC93" s="2140"/>
    </row>
    <row r="94" spans="1:29" ht="15.75" thickTop="1">
      <c r="A94" s="665"/>
      <c r="B94" s="669">
        <f>B29</f>
        <v>111</v>
      </c>
      <c r="C94" s="684"/>
      <c r="D94" s="684"/>
      <c r="E94" s="684"/>
      <c r="F94" s="684"/>
      <c r="G94" s="714"/>
      <c r="H94" s="714"/>
      <c r="I94" s="714"/>
      <c r="J94" s="714"/>
      <c r="K94" s="715"/>
      <c r="L94" s="716"/>
      <c r="M94" s="717"/>
      <c r="N94" s="2159"/>
      <c r="O94" s="2159"/>
      <c r="P94" s="2160"/>
      <c r="Q94" s="2153"/>
      <c r="R94" s="2140"/>
      <c r="S94" s="2140"/>
      <c r="T94" s="2140"/>
      <c r="U94" s="2140"/>
      <c r="V94" s="2140"/>
      <c r="W94" s="2140"/>
      <c r="X94" s="2140"/>
      <c r="Y94" s="2140"/>
      <c r="Z94" s="2140"/>
      <c r="AA94" s="2140"/>
      <c r="AB94" s="2140"/>
      <c r="AC94" s="2140"/>
    </row>
    <row r="95" spans="1:29" ht="15.75" thickBot="1">
      <c r="A95" s="665"/>
      <c r="B95" s="674"/>
      <c r="C95" s="688"/>
      <c r="D95" s="688"/>
      <c r="E95" s="688"/>
      <c r="F95" s="688"/>
      <c r="G95" s="667"/>
      <c r="H95" s="667"/>
      <c r="I95" s="667"/>
      <c r="J95" s="667"/>
      <c r="K95" s="667"/>
      <c r="L95" s="667"/>
      <c r="M95" s="668"/>
      <c r="N95" s="2161"/>
      <c r="O95" s="2161"/>
      <c r="P95" s="2160"/>
      <c r="Q95" s="2153"/>
      <c r="R95" s="2140"/>
      <c r="S95" s="2140"/>
      <c r="T95" s="2140"/>
      <c r="U95" s="2140"/>
      <c r="V95" s="2140"/>
      <c r="W95" s="2140"/>
      <c r="X95" s="2140"/>
      <c r="Y95" s="2140"/>
      <c r="Z95" s="2140"/>
      <c r="AA95" s="2140"/>
      <c r="AB95" s="2140"/>
      <c r="AC95" s="2140"/>
    </row>
    <row r="96" spans="1:29" ht="15.75" thickTop="1">
      <c r="A96" s="665"/>
      <c r="B96" s="669">
        <f>B30</f>
        <v>111</v>
      </c>
      <c r="C96" s="684"/>
      <c r="D96" s="684"/>
      <c r="E96" s="684"/>
      <c r="F96" s="684"/>
      <c r="G96" s="714"/>
      <c r="H96" s="714"/>
      <c r="I96" s="714"/>
      <c r="J96" s="714"/>
      <c r="K96" s="715"/>
      <c r="L96" s="716"/>
      <c r="M96" s="717"/>
      <c r="N96" s="2159"/>
      <c r="O96" s="2159"/>
      <c r="P96" s="2160"/>
      <c r="Q96" s="2153"/>
      <c r="R96" s="2140"/>
      <c r="S96" s="2140"/>
      <c r="T96" s="2140"/>
      <c r="U96" s="2140"/>
      <c r="V96" s="2140"/>
      <c r="W96" s="2140"/>
      <c r="X96" s="2140"/>
      <c r="Y96" s="2140"/>
      <c r="Z96" s="2140"/>
      <c r="AA96" s="2140"/>
      <c r="AB96" s="2140"/>
      <c r="AC96" s="2140"/>
    </row>
    <row r="97" spans="1:29" ht="15.75" thickBot="1">
      <c r="A97" s="665"/>
      <c r="B97" s="674"/>
      <c r="C97" s="696"/>
      <c r="D97" s="696"/>
      <c r="E97" s="696"/>
      <c r="F97" s="696"/>
      <c r="G97" s="667"/>
      <c r="H97" s="667"/>
      <c r="I97" s="667"/>
      <c r="J97" s="667"/>
      <c r="K97" s="667"/>
      <c r="L97" s="667"/>
      <c r="M97" s="668"/>
      <c r="N97" s="2161"/>
      <c r="O97" s="2161"/>
      <c r="P97" s="2160"/>
      <c r="Q97" s="2153"/>
      <c r="R97" s="2140"/>
      <c r="S97" s="2140"/>
      <c r="T97" s="2140"/>
      <c r="U97" s="2140"/>
      <c r="V97" s="2140"/>
      <c r="W97" s="2140"/>
      <c r="X97" s="2140"/>
      <c r="Y97" s="2140"/>
      <c r="Z97" s="2140"/>
      <c r="AA97" s="2140"/>
      <c r="AB97" s="2140"/>
      <c r="AC97" s="2140"/>
    </row>
    <row r="98" spans="1:29" ht="15.75" thickTop="1">
      <c r="A98" s="665"/>
      <c r="B98" s="677">
        <f>B31</f>
        <v>111</v>
      </c>
      <c r="C98" s="718"/>
      <c r="D98" s="718"/>
      <c r="E98" s="718"/>
      <c r="F98" s="718"/>
      <c r="G98" s="718"/>
      <c r="H98" s="718"/>
      <c r="I98" s="718"/>
      <c r="J98" s="718"/>
      <c r="K98" s="719"/>
      <c r="L98" s="720"/>
      <c r="M98" s="721"/>
      <c r="N98" s="2159"/>
      <c r="O98" s="2159"/>
      <c r="P98" s="2160"/>
      <c r="Q98" s="2153"/>
      <c r="R98" s="2140"/>
      <c r="S98" s="2140"/>
      <c r="T98" s="2140"/>
      <c r="U98" s="2140"/>
      <c r="V98" s="2140"/>
      <c r="W98" s="2140"/>
      <c r="X98" s="2140"/>
      <c r="Y98" s="2140"/>
      <c r="Z98" s="2140"/>
      <c r="AA98" s="2140"/>
      <c r="AB98" s="2140"/>
      <c r="AC98" s="2140"/>
    </row>
    <row r="99" spans="1:29" ht="15.75" thickBot="1">
      <c r="A99" s="888"/>
      <c r="B99" s="695"/>
      <c r="C99" s="722"/>
      <c r="D99" s="722"/>
      <c r="E99" s="722"/>
      <c r="F99" s="722"/>
      <c r="G99" s="722"/>
      <c r="H99" s="722"/>
      <c r="I99" s="722"/>
      <c r="J99" s="722"/>
      <c r="K99" s="722"/>
      <c r="L99" s="722"/>
      <c r="M99" s="723"/>
      <c r="N99" s="2161"/>
      <c r="O99" s="2161"/>
      <c r="P99" s="2160"/>
      <c r="Q99" s="2153"/>
      <c r="R99" s="2140"/>
      <c r="S99" s="2140"/>
      <c r="T99" s="2140"/>
      <c r="U99" s="2140"/>
      <c r="V99" s="2140"/>
      <c r="W99" s="2140"/>
      <c r="X99" s="2140"/>
      <c r="Y99" s="2140"/>
      <c r="Z99" s="2140"/>
      <c r="AA99" s="2140"/>
      <c r="AB99" s="2140"/>
      <c r="AC99" s="2140"/>
    </row>
    <row r="100" spans="1:29">
      <c r="A100" s="660" t="s">
        <v>545</v>
      </c>
      <c r="B100" s="661" t="s">
        <v>740</v>
      </c>
      <c r="C100" s="3157" t="s">
        <v>3051</v>
      </c>
      <c r="D100" s="3157" t="s">
        <v>3050</v>
      </c>
      <c r="E100" s="594"/>
      <c r="F100" s="594"/>
      <c r="G100" s="594"/>
      <c r="H100" s="594"/>
      <c r="I100" s="594"/>
      <c r="J100" s="594"/>
      <c r="K100" s="662"/>
      <c r="L100" s="663"/>
      <c r="M100" s="664"/>
      <c r="N100" s="2159"/>
      <c r="O100" s="2159"/>
      <c r="P100" s="2160"/>
      <c r="Q100" s="2153"/>
      <c r="R100" s="2140"/>
      <c r="S100" s="2140"/>
      <c r="T100" s="2140"/>
      <c r="U100" s="2140"/>
      <c r="V100" s="2140"/>
      <c r="W100" s="2140"/>
      <c r="X100" s="2140"/>
      <c r="Y100" s="2140"/>
      <c r="Z100" s="2140"/>
      <c r="AA100" s="2140"/>
      <c r="AB100" s="2140"/>
      <c r="AC100" s="2140"/>
    </row>
    <row r="101" spans="1:29" ht="15.75" thickBot="1">
      <c r="A101" s="665"/>
      <c r="B101" s="674"/>
      <c r="C101" s="675">
        <v>100</v>
      </c>
      <c r="D101" s="675">
        <f t="shared" ref="D101:M101" si="22">C101-$K32</f>
        <v>95</v>
      </c>
      <c r="E101" s="675">
        <f t="shared" si="22"/>
        <v>90</v>
      </c>
      <c r="F101" s="675">
        <f t="shared" si="22"/>
        <v>85</v>
      </c>
      <c r="G101" s="675">
        <f t="shared" si="22"/>
        <v>80</v>
      </c>
      <c r="H101" s="675">
        <f t="shared" si="22"/>
        <v>75</v>
      </c>
      <c r="I101" s="675">
        <f t="shared" si="22"/>
        <v>70</v>
      </c>
      <c r="J101" s="675">
        <f t="shared" si="22"/>
        <v>65</v>
      </c>
      <c r="K101" s="675">
        <f t="shared" si="22"/>
        <v>60</v>
      </c>
      <c r="L101" s="675">
        <f t="shared" si="22"/>
        <v>55</v>
      </c>
      <c r="M101" s="675">
        <f t="shared" si="22"/>
        <v>50</v>
      </c>
      <c r="N101" s="2161"/>
      <c r="O101" s="2161"/>
      <c r="P101" s="2160"/>
      <c r="Q101" s="2153"/>
      <c r="R101" s="2140"/>
      <c r="S101" s="2140"/>
      <c r="T101" s="2140"/>
      <c r="U101" s="2140"/>
      <c r="V101" s="2140"/>
      <c r="W101" s="2140"/>
      <c r="X101" s="2140"/>
      <c r="Y101" s="2140"/>
      <c r="Z101" s="2140"/>
      <c r="AA101" s="2140"/>
      <c r="AB101" s="2140"/>
      <c r="AC101" s="2140"/>
    </row>
    <row r="102" spans="1:29" ht="29.25" thickTop="1">
      <c r="A102" s="665"/>
      <c r="B102" s="669" t="s">
        <v>741</v>
      </c>
      <c r="C102" s="704" t="str">
        <f>C103&amp;"(含)"&amp;"-"&amp;D103</f>
        <v>0(含)-100000</v>
      </c>
      <c r="D102" s="704" t="str">
        <f t="shared" ref="D102:L102" si="23">D103&amp;"(含)"&amp;"-"&amp;E103</f>
        <v>100000(含)-200000</v>
      </c>
      <c r="E102" s="704" t="str">
        <f t="shared" si="23"/>
        <v>200000(含)-300000</v>
      </c>
      <c r="F102" s="704" t="str">
        <f t="shared" si="23"/>
        <v>300000(含)-400000</v>
      </c>
      <c r="G102" s="704" t="str">
        <f t="shared" si="23"/>
        <v>400000(含)-500000</v>
      </c>
      <c r="H102" s="704" t="str">
        <f t="shared" si="23"/>
        <v>500000(含)-600000</v>
      </c>
      <c r="I102" s="704" t="str">
        <f t="shared" si="23"/>
        <v>600000(含)-</v>
      </c>
      <c r="J102" s="704" t="str">
        <f t="shared" si="23"/>
        <v>(含)-</v>
      </c>
      <c r="K102" s="704" t="str">
        <f t="shared" si="23"/>
        <v>(含)-</v>
      </c>
      <c r="L102" s="704" t="str">
        <f t="shared" si="23"/>
        <v>(含)-</v>
      </c>
      <c r="M102" s="704" t="str">
        <f>M103&amp;"(含)"&amp;"-"&amp;P103</f>
        <v>(含)-</v>
      </c>
      <c r="N102" s="2157"/>
      <c r="O102" s="2157"/>
      <c r="P102" s="2160"/>
      <c r="Q102" s="2153"/>
      <c r="R102" s="2140"/>
      <c r="S102" s="2140"/>
      <c r="T102" s="2140"/>
      <c r="U102" s="2140"/>
      <c r="V102" s="2140"/>
      <c r="W102" s="2140"/>
      <c r="X102" s="2140"/>
      <c r="Y102" s="2140"/>
      <c r="Z102" s="2140"/>
      <c r="AA102" s="2140"/>
      <c r="AB102" s="2140"/>
      <c r="AC102" s="2140"/>
    </row>
    <row r="103" spans="1:29" s="1334" customFormat="1">
      <c r="A103" s="724"/>
      <c r="B103" s="725"/>
      <c r="C103" s="726">
        <v>0</v>
      </c>
      <c r="D103" s="726">
        <v>100000</v>
      </c>
      <c r="E103" s="726">
        <v>200000</v>
      </c>
      <c r="F103" s="726">
        <v>300000</v>
      </c>
      <c r="G103" s="726">
        <v>400000</v>
      </c>
      <c r="H103" s="726">
        <v>500000</v>
      </c>
      <c r="I103" s="726">
        <v>600000</v>
      </c>
      <c r="J103" s="727"/>
      <c r="K103" s="727"/>
      <c r="L103" s="728"/>
      <c r="M103" s="729"/>
      <c r="N103" s="2162"/>
      <c r="O103" s="2162"/>
      <c r="P103" s="2163"/>
      <c r="Q103" s="2164"/>
      <c r="R103" s="2165"/>
      <c r="S103" s="2165"/>
      <c r="T103" s="2165"/>
      <c r="U103" s="2165"/>
      <c r="V103" s="2165"/>
      <c r="W103" s="2165"/>
      <c r="X103" s="2165"/>
      <c r="Y103" s="2165"/>
      <c r="Z103" s="2165"/>
      <c r="AA103" s="2165"/>
      <c r="AB103" s="2165"/>
      <c r="AC103" s="2165"/>
    </row>
    <row r="104" spans="1:29" s="1334" customFormat="1" ht="15.75" thickBot="1">
      <c r="A104" s="683"/>
      <c r="B104" s="674"/>
      <c r="C104" s="688">
        <v>100</v>
      </c>
      <c r="D104" s="667">
        <v>101</v>
      </c>
      <c r="E104" s="667">
        <v>102</v>
      </c>
      <c r="F104" s="667">
        <v>103</v>
      </c>
      <c r="G104" s="667">
        <v>104</v>
      </c>
      <c r="H104" s="667">
        <v>105</v>
      </c>
      <c r="I104" s="667">
        <v>106</v>
      </c>
      <c r="J104" s="667"/>
      <c r="K104" s="667"/>
      <c r="L104" s="667"/>
      <c r="M104" s="667"/>
      <c r="N104" s="2161"/>
      <c r="O104" s="2161"/>
      <c r="P104" s="2163"/>
      <c r="Q104" s="2164"/>
      <c r="R104" s="2165"/>
      <c r="S104" s="2165"/>
      <c r="T104" s="2165"/>
      <c r="U104" s="2165"/>
      <c r="V104" s="2165"/>
      <c r="W104" s="2165"/>
      <c r="X104" s="2165"/>
      <c r="Y104" s="2165"/>
      <c r="Z104" s="2165"/>
      <c r="AA104" s="2165"/>
      <c r="AB104" s="2165"/>
      <c r="AC104" s="2165"/>
    </row>
    <row r="105" spans="1:29" ht="15" thickTop="1">
      <c r="A105" s="731"/>
      <c r="B105" s="669" t="s">
        <v>742</v>
      </c>
      <c r="C105" s="684" t="s">
        <v>3068</v>
      </c>
      <c r="D105" s="714" t="s">
        <v>3069</v>
      </c>
      <c r="E105" s="714"/>
      <c r="F105" s="714"/>
      <c r="G105" s="714"/>
      <c r="H105" s="714"/>
      <c r="I105" s="714"/>
      <c r="J105" s="714"/>
      <c r="K105" s="715"/>
      <c r="L105" s="716"/>
      <c r="M105" s="717"/>
      <c r="N105" s="2159"/>
      <c r="O105" s="2159"/>
      <c r="P105" s="2160"/>
      <c r="Q105" s="2153"/>
      <c r="R105" s="2140"/>
      <c r="S105" s="2140"/>
      <c r="T105" s="2140"/>
      <c r="U105" s="2140"/>
      <c r="V105" s="2140"/>
      <c r="W105" s="2140"/>
      <c r="X105" s="2140"/>
      <c r="Y105" s="2140"/>
      <c r="Z105" s="2140"/>
      <c r="AA105" s="2140"/>
      <c r="AB105" s="2140"/>
      <c r="AC105" s="2140"/>
    </row>
    <row r="106" spans="1:29" ht="15.75" thickBot="1">
      <c r="A106" s="665"/>
      <c r="B106" s="674"/>
      <c r="C106" s="675">
        <v>100</v>
      </c>
      <c r="D106" s="675">
        <f t="shared" ref="D106:M106" si="24">C106-$K34</f>
        <v>99</v>
      </c>
      <c r="E106" s="675">
        <f t="shared" si="24"/>
        <v>98</v>
      </c>
      <c r="F106" s="675">
        <f t="shared" si="24"/>
        <v>97</v>
      </c>
      <c r="G106" s="675">
        <f t="shared" si="24"/>
        <v>96</v>
      </c>
      <c r="H106" s="675">
        <f t="shared" si="24"/>
        <v>95</v>
      </c>
      <c r="I106" s="675">
        <f t="shared" si="24"/>
        <v>94</v>
      </c>
      <c r="J106" s="675">
        <f t="shared" si="24"/>
        <v>93</v>
      </c>
      <c r="K106" s="675">
        <f t="shared" si="24"/>
        <v>92</v>
      </c>
      <c r="L106" s="675">
        <f t="shared" si="24"/>
        <v>91</v>
      </c>
      <c r="M106" s="675">
        <f t="shared" si="24"/>
        <v>90</v>
      </c>
      <c r="N106" s="2161"/>
      <c r="O106" s="2161"/>
      <c r="P106" s="2160"/>
      <c r="Q106" s="2153"/>
      <c r="R106" s="2140"/>
      <c r="S106" s="2140"/>
      <c r="T106" s="2140"/>
      <c r="U106" s="2140"/>
      <c r="V106" s="2140"/>
      <c r="W106" s="2140"/>
      <c r="X106" s="2140"/>
      <c r="Y106" s="2140"/>
      <c r="Z106" s="2140"/>
      <c r="AA106" s="2140"/>
      <c r="AB106" s="2140"/>
      <c r="AC106" s="2140"/>
    </row>
    <row r="107" spans="1:29" ht="15" thickTop="1">
      <c r="A107" s="731"/>
      <c r="B107" s="669" t="s">
        <v>743</v>
      </c>
      <c r="C107" s="714"/>
      <c r="D107" s="714"/>
      <c r="E107" s="714"/>
      <c r="F107" s="714"/>
      <c r="G107" s="714"/>
      <c r="H107" s="714"/>
      <c r="I107" s="714"/>
      <c r="J107" s="714"/>
      <c r="K107" s="715"/>
      <c r="L107" s="716"/>
      <c r="M107" s="717"/>
      <c r="N107" s="2159"/>
      <c r="O107" s="2159"/>
      <c r="P107" s="2160"/>
      <c r="Q107" s="2153"/>
      <c r="R107" s="2140"/>
      <c r="S107" s="2140"/>
      <c r="T107" s="2140"/>
      <c r="U107" s="2140"/>
      <c r="V107" s="2140"/>
      <c r="W107" s="2140"/>
      <c r="X107" s="2140"/>
      <c r="Y107" s="2140"/>
      <c r="Z107" s="2140"/>
      <c r="AA107" s="2140"/>
      <c r="AB107" s="2140"/>
      <c r="AC107" s="2140"/>
    </row>
    <row r="108" spans="1:29" ht="15.75" thickBot="1">
      <c r="A108" s="665"/>
      <c r="B108" s="674"/>
      <c r="C108" s="675">
        <v>100</v>
      </c>
      <c r="D108" s="675">
        <f t="shared" ref="D108:M108" si="25">C108-$K35</f>
        <v>100</v>
      </c>
      <c r="E108" s="675">
        <f t="shared" si="25"/>
        <v>100</v>
      </c>
      <c r="F108" s="675">
        <f t="shared" si="25"/>
        <v>100</v>
      </c>
      <c r="G108" s="675">
        <f t="shared" si="25"/>
        <v>100</v>
      </c>
      <c r="H108" s="675">
        <f t="shared" si="25"/>
        <v>100</v>
      </c>
      <c r="I108" s="675">
        <f t="shared" si="25"/>
        <v>100</v>
      </c>
      <c r="J108" s="675">
        <f t="shared" si="25"/>
        <v>100</v>
      </c>
      <c r="K108" s="675">
        <f t="shared" si="25"/>
        <v>100</v>
      </c>
      <c r="L108" s="675">
        <f t="shared" si="25"/>
        <v>100</v>
      </c>
      <c r="M108" s="675">
        <f t="shared" si="25"/>
        <v>100</v>
      </c>
      <c r="N108" s="2161"/>
      <c r="O108" s="2161"/>
      <c r="P108" s="2160"/>
      <c r="Q108" s="2153"/>
      <c r="R108" s="2140"/>
      <c r="S108" s="2140"/>
      <c r="T108" s="2140"/>
      <c r="U108" s="2140"/>
      <c r="V108" s="2140"/>
      <c r="W108" s="2140"/>
      <c r="X108" s="2140"/>
      <c r="Y108" s="2140"/>
      <c r="Z108" s="2140"/>
      <c r="AA108" s="2140"/>
      <c r="AB108" s="2140"/>
      <c r="AC108" s="2140"/>
    </row>
    <row r="109" spans="1:29" ht="15" thickTop="1">
      <c r="A109" s="731"/>
      <c r="B109" s="669" t="s">
        <v>744</v>
      </c>
      <c r="C109" s="684" t="s">
        <v>3052</v>
      </c>
      <c r="D109" s="684" t="s">
        <v>3053</v>
      </c>
      <c r="E109" s="684" t="s">
        <v>3054</v>
      </c>
      <c r="F109" s="714" t="s">
        <v>3055</v>
      </c>
      <c r="G109" s="714"/>
      <c r="H109" s="714"/>
      <c r="I109" s="714"/>
      <c r="J109" s="714"/>
      <c r="K109" s="715"/>
      <c r="L109" s="716"/>
      <c r="M109" s="717"/>
      <c r="N109" s="2159"/>
      <c r="O109" s="2159"/>
      <c r="P109" s="2160"/>
      <c r="Q109" s="2153"/>
      <c r="R109" s="2140"/>
      <c r="S109" s="2140"/>
      <c r="T109" s="2140"/>
      <c r="U109" s="2140"/>
      <c r="V109" s="2140"/>
      <c r="W109" s="2140"/>
      <c r="X109" s="2140"/>
      <c r="Y109" s="2140"/>
      <c r="Z109" s="2140"/>
      <c r="AA109" s="2140"/>
      <c r="AB109" s="2140"/>
      <c r="AC109" s="2140"/>
    </row>
    <row r="110" spans="1:29" ht="15.75" thickBot="1">
      <c r="A110" s="665"/>
      <c r="B110" s="674"/>
      <c r="C110" s="675">
        <v>100</v>
      </c>
      <c r="D110" s="675">
        <f t="shared" ref="D110:M110" si="26">C110-$K36</f>
        <v>97</v>
      </c>
      <c r="E110" s="675">
        <f t="shared" si="26"/>
        <v>94</v>
      </c>
      <c r="F110" s="675">
        <f t="shared" si="26"/>
        <v>91</v>
      </c>
      <c r="G110" s="675">
        <f t="shared" si="26"/>
        <v>88</v>
      </c>
      <c r="H110" s="675">
        <f t="shared" si="26"/>
        <v>85</v>
      </c>
      <c r="I110" s="675">
        <f t="shared" si="26"/>
        <v>82</v>
      </c>
      <c r="J110" s="675">
        <f t="shared" si="26"/>
        <v>79</v>
      </c>
      <c r="K110" s="675">
        <f t="shared" si="26"/>
        <v>76</v>
      </c>
      <c r="L110" s="675">
        <f t="shared" si="26"/>
        <v>73</v>
      </c>
      <c r="M110" s="675">
        <f t="shared" si="26"/>
        <v>70</v>
      </c>
      <c r="N110" s="2161"/>
      <c r="O110" s="2161"/>
      <c r="P110" s="2160"/>
      <c r="Q110" s="2153"/>
      <c r="R110" s="2140"/>
      <c r="S110" s="2140"/>
      <c r="T110" s="2140"/>
      <c r="U110" s="2140"/>
      <c r="V110" s="2140"/>
      <c r="W110" s="2140"/>
      <c r="X110" s="2140"/>
      <c r="Y110" s="2140"/>
      <c r="Z110" s="2140"/>
      <c r="AA110" s="2140"/>
      <c r="AB110" s="2140"/>
      <c r="AC110" s="2140"/>
    </row>
    <row r="111" spans="1:29" s="1334" customFormat="1" ht="15" thickTop="1">
      <c r="A111" s="724"/>
      <c r="B111" s="669" t="s">
        <v>745</v>
      </c>
      <c r="C111" s="704" t="str">
        <f>C112&amp;"(含)"&amp;"-"&amp;D112</f>
        <v>0.5(含)-0.6</v>
      </c>
      <c r="D111" s="704" t="str">
        <f>D112&amp;"(含)"&amp;"-"&amp;E112</f>
        <v>0.6(含)-0.7</v>
      </c>
      <c r="E111" s="704" t="str">
        <f>E112&amp;"(含)"&amp;"-"&amp;F112</f>
        <v>0.7(含)-0.8</v>
      </c>
      <c r="F111" s="704" t="str">
        <f>F112&amp;"(含)"&amp;"-"&amp;G112</f>
        <v>0.8(含)-0.9</v>
      </c>
      <c r="G111" s="704" t="str">
        <f>G112&amp;"(含)"&amp;"-"&amp;ROUND(H112,0)</f>
        <v>0.9(含)-1</v>
      </c>
      <c r="H111" s="704" t="str">
        <f>ROUND(H112,0)&amp;"(含)"&amp;"-"&amp;I112</f>
        <v>1(含)-</v>
      </c>
      <c r="I111" s="704"/>
      <c r="J111" s="709"/>
      <c r="K111" s="709"/>
      <c r="L111" s="710"/>
      <c r="M111" s="711"/>
      <c r="N111" s="2162"/>
      <c r="O111" s="2162"/>
      <c r="P111" s="2163"/>
      <c r="Q111" s="2164"/>
      <c r="R111" s="2165"/>
      <c r="S111" s="2165"/>
      <c r="T111" s="2165"/>
      <c r="U111" s="2165"/>
      <c r="V111" s="2165"/>
      <c r="W111" s="2165"/>
      <c r="X111" s="2165"/>
      <c r="Y111" s="2165"/>
      <c r="Z111" s="2165"/>
      <c r="AA111" s="2165"/>
      <c r="AB111" s="2165"/>
      <c r="AC111" s="2165"/>
    </row>
    <row r="112" spans="1:29" s="1334" customFormat="1">
      <c r="A112" s="724"/>
      <c r="B112" s="677"/>
      <c r="C112" s="889">
        <v>0.5</v>
      </c>
      <c r="D112" s="889">
        <v>0.6</v>
      </c>
      <c r="E112" s="889">
        <v>0.7</v>
      </c>
      <c r="F112" s="889">
        <v>0.8</v>
      </c>
      <c r="G112" s="889">
        <v>0.9</v>
      </c>
      <c r="H112" s="889">
        <v>1.0001</v>
      </c>
      <c r="I112" s="889"/>
      <c r="J112" s="890"/>
      <c r="K112" s="890"/>
      <c r="L112" s="891"/>
      <c r="M112" s="892"/>
      <c r="N112" s="2162"/>
      <c r="O112" s="2162"/>
      <c r="P112" s="2163"/>
      <c r="Q112" s="2164"/>
      <c r="R112" s="2165"/>
      <c r="S112" s="2165"/>
      <c r="T112" s="2165"/>
      <c r="U112" s="2165"/>
      <c r="V112" s="2165"/>
      <c r="W112" s="2165"/>
      <c r="X112" s="2165"/>
      <c r="Y112" s="2165"/>
      <c r="Z112" s="2165"/>
      <c r="AA112" s="2165"/>
      <c r="AB112" s="2165"/>
      <c r="AC112" s="2165"/>
    </row>
    <row r="113" spans="1:29" s="1334" customFormat="1" ht="15.75" thickBot="1">
      <c r="A113" s="683"/>
      <c r="B113" s="674"/>
      <c r="C113" s="708">
        <v>100</v>
      </c>
      <c r="D113" s="675">
        <f>C113+$K37</f>
        <v>100</v>
      </c>
      <c r="E113" s="675">
        <f>D113+$K37</f>
        <v>100</v>
      </c>
      <c r="F113" s="675">
        <f>E113+$K37</f>
        <v>100</v>
      </c>
      <c r="G113" s="675">
        <f>F113+$K37</f>
        <v>100</v>
      </c>
      <c r="H113" s="675">
        <f>G113+$K37</f>
        <v>100</v>
      </c>
      <c r="I113" s="708"/>
      <c r="J113" s="712"/>
      <c r="K113" s="712"/>
      <c r="L113" s="712"/>
      <c r="M113" s="713"/>
      <c r="N113" s="2162"/>
      <c r="O113" s="2162"/>
      <c r="P113" s="2163"/>
      <c r="Q113" s="2164"/>
      <c r="R113" s="2165"/>
      <c r="S113" s="2165"/>
      <c r="T113" s="2165"/>
      <c r="U113" s="2165"/>
      <c r="V113" s="2165"/>
      <c r="W113" s="2165"/>
      <c r="X113" s="2165"/>
      <c r="Y113" s="2165"/>
      <c r="Z113" s="2165"/>
      <c r="AA113" s="2165"/>
      <c r="AB113" s="2165"/>
      <c r="AC113" s="2165"/>
    </row>
    <row r="114" spans="1:29" ht="15" thickTop="1">
      <c r="A114" s="731"/>
      <c r="B114" s="669" t="s">
        <v>746</v>
      </c>
      <c r="C114" s="684" t="s">
        <v>3061</v>
      </c>
      <c r="D114" s="684" t="s">
        <v>3062</v>
      </c>
      <c r="E114" s="714"/>
      <c r="F114" s="714"/>
      <c r="G114" s="714"/>
      <c r="H114" s="714"/>
      <c r="I114" s="714"/>
      <c r="J114" s="714"/>
      <c r="K114" s="715"/>
      <c r="L114" s="716"/>
      <c r="M114" s="717"/>
      <c r="N114" s="2159"/>
      <c r="O114" s="2159"/>
      <c r="P114" s="2160"/>
      <c r="Q114" s="2153"/>
      <c r="R114" s="2140"/>
      <c r="S114" s="2140"/>
      <c r="T114" s="2140"/>
      <c r="U114" s="2140"/>
      <c r="V114" s="2140"/>
      <c r="W114" s="2140"/>
      <c r="X114" s="2140"/>
      <c r="Y114" s="2140"/>
      <c r="Z114" s="2140"/>
      <c r="AA114" s="2140"/>
      <c r="AB114" s="2140"/>
      <c r="AC114" s="2140"/>
    </row>
    <row r="115" spans="1:29" ht="15.75" thickBot="1">
      <c r="A115" s="665"/>
      <c r="B115" s="674"/>
      <c r="C115" s="675">
        <v>100</v>
      </c>
      <c r="D115" s="675">
        <f t="shared" ref="D115:M115" si="27">C115-$K38</f>
        <v>98</v>
      </c>
      <c r="E115" s="675">
        <f t="shared" si="27"/>
        <v>96</v>
      </c>
      <c r="F115" s="675">
        <f t="shared" si="27"/>
        <v>94</v>
      </c>
      <c r="G115" s="675">
        <f t="shared" si="27"/>
        <v>92</v>
      </c>
      <c r="H115" s="675">
        <f t="shared" si="27"/>
        <v>90</v>
      </c>
      <c r="I115" s="675">
        <f t="shared" si="27"/>
        <v>88</v>
      </c>
      <c r="J115" s="675">
        <f t="shared" si="27"/>
        <v>86</v>
      </c>
      <c r="K115" s="675">
        <f t="shared" si="27"/>
        <v>84</v>
      </c>
      <c r="L115" s="675">
        <f t="shared" si="27"/>
        <v>82</v>
      </c>
      <c r="M115" s="675">
        <f t="shared" si="27"/>
        <v>80</v>
      </c>
      <c r="N115" s="2161"/>
      <c r="O115" s="2161"/>
      <c r="P115" s="2160"/>
      <c r="Q115" s="2153"/>
      <c r="R115" s="2140"/>
      <c r="S115" s="2140"/>
      <c r="T115" s="2140"/>
      <c r="U115" s="2140"/>
      <c r="V115" s="2140"/>
      <c r="W115" s="2140"/>
      <c r="X115" s="2140"/>
      <c r="Y115" s="2140"/>
      <c r="Z115" s="2140"/>
      <c r="AA115" s="2140"/>
      <c r="AB115" s="2140"/>
      <c r="AC115" s="2140"/>
    </row>
    <row r="116" spans="1:29" ht="15" thickTop="1">
      <c r="A116" s="731"/>
      <c r="B116" s="1891" t="s">
        <v>2553</v>
      </c>
      <c r="C116" s="684" t="s">
        <v>3063</v>
      </c>
      <c r="D116" s="684" t="s">
        <v>3064</v>
      </c>
      <c r="E116" s="684" t="s">
        <v>3065</v>
      </c>
      <c r="F116" s="684" t="s">
        <v>3066</v>
      </c>
      <c r="G116" s="684" t="s">
        <v>3067</v>
      </c>
      <c r="H116" s="714"/>
      <c r="I116" s="714"/>
      <c r="J116" s="714"/>
      <c r="K116" s="715"/>
      <c r="L116" s="716"/>
      <c r="M116" s="717"/>
      <c r="N116" s="2159"/>
      <c r="O116" s="2159"/>
      <c r="P116" s="2160"/>
      <c r="Q116" s="2153"/>
      <c r="R116" s="2140"/>
      <c r="S116" s="2140"/>
      <c r="T116" s="2140"/>
      <c r="U116" s="2140"/>
      <c r="V116" s="2140"/>
      <c r="W116" s="2140"/>
      <c r="X116" s="2140"/>
      <c r="Y116" s="2140"/>
      <c r="Z116" s="2140"/>
      <c r="AA116" s="2140"/>
      <c r="AB116" s="2140"/>
      <c r="AC116" s="2140"/>
    </row>
    <row r="117" spans="1:29" ht="15.75" thickBot="1">
      <c r="A117" s="665"/>
      <c r="B117" s="674"/>
      <c r="C117" s="675">
        <v>100</v>
      </c>
      <c r="D117" s="675">
        <f>C117-$K39</f>
        <v>99</v>
      </c>
      <c r="E117" s="675">
        <f>D117-$K39</f>
        <v>98</v>
      </c>
      <c r="F117" s="675">
        <f>E117-$K39</f>
        <v>97</v>
      </c>
      <c r="G117" s="675">
        <f>F117-$K39</f>
        <v>96</v>
      </c>
      <c r="H117" s="675"/>
      <c r="I117" s="675"/>
      <c r="J117" s="675"/>
      <c r="K117" s="675"/>
      <c r="L117" s="675"/>
      <c r="M117" s="676"/>
      <c r="N117" s="2161"/>
      <c r="O117" s="2161"/>
      <c r="P117" s="2160"/>
      <c r="Q117" s="2153"/>
      <c r="R117" s="2140"/>
      <c r="S117" s="2140"/>
      <c r="T117" s="2140"/>
      <c r="U117" s="2140"/>
      <c r="V117" s="2140"/>
      <c r="W117" s="2140"/>
      <c r="X117" s="2140"/>
      <c r="Y117" s="2140"/>
      <c r="Z117" s="2140"/>
      <c r="AA117" s="2140"/>
      <c r="AB117" s="2140"/>
      <c r="AC117" s="2140"/>
    </row>
    <row r="118" spans="1:29" ht="15" thickTop="1">
      <c r="A118" s="731"/>
      <c r="B118" s="669" t="s">
        <v>747</v>
      </c>
      <c r="C118" s="714"/>
      <c r="D118" s="714"/>
      <c r="E118" s="714"/>
      <c r="F118" s="714"/>
      <c r="G118" s="714"/>
      <c r="H118" s="714"/>
      <c r="I118" s="714"/>
      <c r="J118" s="714"/>
      <c r="K118" s="715"/>
      <c r="L118" s="716"/>
      <c r="M118" s="717"/>
      <c r="N118" s="2159"/>
      <c r="O118" s="2159"/>
      <c r="P118" s="2160"/>
      <c r="Q118" s="2153"/>
      <c r="R118" s="2140"/>
      <c r="S118" s="2140"/>
      <c r="T118" s="2140"/>
      <c r="U118" s="2140"/>
      <c r="V118" s="2140"/>
      <c r="W118" s="2140"/>
      <c r="X118" s="2140"/>
      <c r="Y118" s="2140"/>
      <c r="Z118" s="2140"/>
      <c r="AA118" s="2140"/>
      <c r="AB118" s="2140"/>
      <c r="AC118" s="2140"/>
    </row>
    <row r="119" spans="1:29" ht="15.75" thickBot="1">
      <c r="A119" s="665"/>
      <c r="B119" s="674"/>
      <c r="C119" s="675">
        <v>100</v>
      </c>
      <c r="D119" s="675">
        <f t="shared" ref="D119:M119" si="28">C119-$K40</f>
        <v>100</v>
      </c>
      <c r="E119" s="675">
        <f t="shared" si="28"/>
        <v>100</v>
      </c>
      <c r="F119" s="675">
        <f t="shared" si="28"/>
        <v>100</v>
      </c>
      <c r="G119" s="675">
        <f t="shared" si="28"/>
        <v>100</v>
      </c>
      <c r="H119" s="675">
        <f t="shared" si="28"/>
        <v>100</v>
      </c>
      <c r="I119" s="675">
        <f t="shared" si="28"/>
        <v>100</v>
      </c>
      <c r="J119" s="675">
        <f t="shared" si="28"/>
        <v>100</v>
      </c>
      <c r="K119" s="675">
        <f t="shared" si="28"/>
        <v>100</v>
      </c>
      <c r="L119" s="675">
        <f t="shared" si="28"/>
        <v>100</v>
      </c>
      <c r="M119" s="675">
        <f t="shared" si="28"/>
        <v>100</v>
      </c>
      <c r="N119" s="2161"/>
      <c r="O119" s="2161"/>
      <c r="P119" s="2160"/>
      <c r="Q119" s="2153"/>
      <c r="R119" s="2140"/>
      <c r="S119" s="2140"/>
      <c r="T119" s="2140"/>
      <c r="U119" s="2140"/>
      <c r="V119" s="2140"/>
      <c r="W119" s="2140"/>
      <c r="X119" s="2140"/>
      <c r="Y119" s="2140"/>
      <c r="Z119" s="2140"/>
      <c r="AA119" s="2140"/>
      <c r="AB119" s="2140"/>
      <c r="AC119" s="2140"/>
    </row>
    <row r="120" spans="1:29" s="1334" customFormat="1" ht="28.5" thickTop="1">
      <c r="A120" s="724"/>
      <c r="B120" s="669" t="s">
        <v>726</v>
      </c>
      <c r="C120" s="684"/>
      <c r="D120" s="684"/>
      <c r="E120" s="684"/>
      <c r="F120" s="684"/>
      <c r="G120" s="684"/>
      <c r="H120" s="684"/>
      <c r="I120" s="684"/>
      <c r="J120" s="684"/>
      <c r="K120" s="684"/>
      <c r="L120" s="885"/>
      <c r="M120" s="886"/>
      <c r="N120" s="2162"/>
      <c r="O120" s="2162"/>
      <c r="P120" s="2163"/>
      <c r="Q120" s="2164"/>
      <c r="R120" s="2165"/>
      <c r="S120" s="2165"/>
      <c r="T120" s="2165"/>
      <c r="U120" s="2165"/>
      <c r="V120" s="2165"/>
      <c r="W120" s="2165"/>
      <c r="X120" s="2165"/>
      <c r="Y120" s="2165"/>
      <c r="Z120" s="2165"/>
      <c r="AA120" s="2165"/>
      <c r="AB120" s="2165"/>
      <c r="AC120" s="2165"/>
    </row>
    <row r="121" spans="1:29" s="1334" customFormat="1" ht="15.75" thickBot="1">
      <c r="A121" s="683"/>
      <c r="B121" s="666"/>
      <c r="C121" s="688"/>
      <c r="D121" s="667"/>
      <c r="E121" s="667"/>
      <c r="F121" s="667"/>
      <c r="G121" s="667"/>
      <c r="H121" s="667"/>
      <c r="I121" s="667"/>
      <c r="J121" s="667"/>
      <c r="K121" s="667"/>
      <c r="L121" s="667"/>
      <c r="M121" s="667"/>
      <c r="N121" s="2162"/>
      <c r="O121" s="2162"/>
      <c r="P121" s="2163"/>
      <c r="Q121" s="2164"/>
      <c r="R121" s="2165"/>
      <c r="S121" s="2165"/>
      <c r="T121" s="2165"/>
      <c r="U121" s="2165"/>
      <c r="V121" s="2165"/>
      <c r="W121" s="2165"/>
      <c r="X121" s="2165"/>
      <c r="Y121" s="2165"/>
      <c r="Z121" s="2165"/>
      <c r="AA121" s="2165"/>
      <c r="AB121" s="2165"/>
      <c r="AC121" s="2165"/>
    </row>
    <row r="122" spans="1:29" ht="15" thickTop="1">
      <c r="A122" s="731"/>
      <c r="B122" s="669" t="s">
        <v>748</v>
      </c>
      <c r="C122" s="684" t="s">
        <v>3052</v>
      </c>
      <c r="D122" s="684" t="s">
        <v>3053</v>
      </c>
      <c r="E122" s="684" t="s">
        <v>3054</v>
      </c>
      <c r="F122" s="714" t="s">
        <v>3055</v>
      </c>
      <c r="G122" s="714"/>
      <c r="H122" s="714"/>
      <c r="I122" s="714"/>
      <c r="J122" s="714"/>
      <c r="K122" s="715"/>
      <c r="L122" s="716"/>
      <c r="M122" s="717"/>
      <c r="N122" s="2159"/>
      <c r="O122" s="2159"/>
      <c r="P122" s="2160"/>
      <c r="Q122" s="2153"/>
      <c r="R122" s="2140"/>
      <c r="S122" s="2140"/>
      <c r="T122" s="2140"/>
      <c r="U122" s="2140"/>
      <c r="V122" s="2140"/>
      <c r="W122" s="2140"/>
      <c r="X122" s="2140"/>
      <c r="Y122" s="2140"/>
      <c r="Z122" s="2140"/>
      <c r="AA122" s="2140"/>
      <c r="AB122" s="2140"/>
      <c r="AC122" s="2140"/>
    </row>
    <row r="123" spans="1:29" ht="15.75" thickBot="1">
      <c r="A123" s="665"/>
      <c r="B123" s="674"/>
      <c r="C123" s="675">
        <v>100</v>
      </c>
      <c r="D123" s="675">
        <f t="shared" ref="D123:M123" si="29">C123-$K42</f>
        <v>97</v>
      </c>
      <c r="E123" s="675">
        <f t="shared" si="29"/>
        <v>94</v>
      </c>
      <c r="F123" s="675">
        <f t="shared" si="29"/>
        <v>91</v>
      </c>
      <c r="G123" s="675">
        <f t="shared" si="29"/>
        <v>88</v>
      </c>
      <c r="H123" s="675">
        <f t="shared" si="29"/>
        <v>85</v>
      </c>
      <c r="I123" s="675">
        <f t="shared" si="29"/>
        <v>82</v>
      </c>
      <c r="J123" s="675">
        <f t="shared" si="29"/>
        <v>79</v>
      </c>
      <c r="K123" s="675">
        <f t="shared" si="29"/>
        <v>76</v>
      </c>
      <c r="L123" s="675">
        <f t="shared" si="29"/>
        <v>73</v>
      </c>
      <c r="M123" s="675">
        <f t="shared" si="29"/>
        <v>70</v>
      </c>
      <c r="N123" s="2161"/>
      <c r="O123" s="2161"/>
      <c r="P123" s="2160"/>
      <c r="Q123" s="2153"/>
      <c r="R123" s="2140"/>
      <c r="S123" s="2140"/>
      <c r="T123" s="2140"/>
      <c r="U123" s="2140"/>
      <c r="V123" s="2140"/>
      <c r="W123" s="2140"/>
      <c r="X123" s="2140"/>
      <c r="Y123" s="2140"/>
      <c r="Z123" s="2140"/>
      <c r="AA123" s="2140"/>
      <c r="AB123" s="2140"/>
      <c r="AC123" s="2140"/>
    </row>
    <row r="124" spans="1:29" ht="27.75" thickTop="1">
      <c r="A124" s="731"/>
      <c r="B124" s="669" t="s">
        <v>749</v>
      </c>
      <c r="C124" s="704" t="s">
        <v>573</v>
      </c>
      <c r="D124" s="704" t="s">
        <v>574</v>
      </c>
      <c r="E124" s="704" t="s">
        <v>575</v>
      </c>
      <c r="F124" s="704" t="s">
        <v>576</v>
      </c>
      <c r="G124" s="704" t="s">
        <v>577</v>
      </c>
      <c r="H124" s="670"/>
      <c r="I124" s="670"/>
      <c r="J124" s="670"/>
      <c r="K124" s="671"/>
      <c r="L124" s="672"/>
      <c r="M124" s="673"/>
      <c r="N124" s="2159"/>
      <c r="O124" s="2159"/>
      <c r="P124" s="2163"/>
      <c r="Q124" s="2153"/>
      <c r="R124" s="2140"/>
      <c r="S124" s="2140"/>
      <c r="T124" s="2140"/>
      <c r="U124" s="2140"/>
      <c r="V124" s="2140"/>
      <c r="W124" s="2140"/>
      <c r="X124" s="2140"/>
      <c r="Y124" s="2140"/>
      <c r="Z124" s="2140"/>
      <c r="AA124" s="2140"/>
      <c r="AB124" s="2140"/>
      <c r="AC124" s="2140"/>
    </row>
    <row r="125" spans="1:29" ht="15.75" thickBot="1">
      <c r="A125" s="665"/>
      <c r="B125" s="674"/>
      <c r="C125" s="675">
        <v>100</v>
      </c>
      <c r="D125" s="675">
        <f>C125-$K43</f>
        <v>98</v>
      </c>
      <c r="E125" s="675">
        <f>D125-$K43</f>
        <v>96</v>
      </c>
      <c r="F125" s="675">
        <f>E125-$K43</f>
        <v>94</v>
      </c>
      <c r="G125" s="675">
        <f>F125-$K43</f>
        <v>92</v>
      </c>
      <c r="H125" s="675"/>
      <c r="I125" s="675"/>
      <c r="J125" s="675"/>
      <c r="K125" s="675"/>
      <c r="L125" s="675"/>
      <c r="M125" s="676"/>
      <c r="N125" s="2161"/>
      <c r="O125" s="2161"/>
      <c r="P125" s="2160"/>
      <c r="Q125" s="2153"/>
      <c r="R125" s="2140"/>
      <c r="S125" s="2140"/>
      <c r="T125" s="2140"/>
      <c r="U125" s="2140"/>
      <c r="V125" s="2140"/>
      <c r="W125" s="2140"/>
      <c r="X125" s="2140"/>
      <c r="Y125" s="2140"/>
      <c r="Z125" s="2140"/>
      <c r="AA125" s="2140"/>
      <c r="AB125" s="2140"/>
      <c r="AC125" s="2140"/>
    </row>
    <row r="126" spans="1:29" s="1334" customFormat="1" ht="15" thickTop="1">
      <c r="A126" s="724"/>
      <c r="B126" s="669">
        <f>B44</f>
        <v>111</v>
      </c>
      <c r="C126" s="684"/>
      <c r="D126" s="684"/>
      <c r="E126" s="684"/>
      <c r="F126" s="684"/>
      <c r="G126" s="684"/>
      <c r="H126" s="685"/>
      <c r="I126" s="685"/>
      <c r="J126" s="685"/>
      <c r="K126" s="685"/>
      <c r="L126" s="686"/>
      <c r="M126" s="687"/>
      <c r="N126" s="2162"/>
      <c r="O126" s="2162"/>
      <c r="P126" s="2163"/>
      <c r="Q126" s="2164"/>
      <c r="R126" s="2165"/>
      <c r="S126" s="2165"/>
      <c r="T126" s="2165"/>
      <c r="U126" s="2165"/>
      <c r="V126" s="2165"/>
      <c r="W126" s="2165"/>
      <c r="X126" s="2165"/>
      <c r="Y126" s="2165"/>
      <c r="Z126" s="2165"/>
      <c r="AA126" s="2165"/>
      <c r="AB126" s="2165"/>
      <c r="AC126" s="2165"/>
    </row>
    <row r="127" spans="1:29" s="1334" customFormat="1" ht="15.75" thickBot="1">
      <c r="A127" s="683"/>
      <c r="B127" s="674"/>
      <c r="C127" s="688"/>
      <c r="D127" s="667"/>
      <c r="E127" s="667"/>
      <c r="F127" s="667"/>
      <c r="G127" s="688"/>
      <c r="H127" s="689"/>
      <c r="I127" s="689"/>
      <c r="J127" s="689"/>
      <c r="K127" s="689"/>
      <c r="L127" s="689"/>
      <c r="M127" s="690"/>
      <c r="N127" s="2162"/>
      <c r="O127" s="2162"/>
      <c r="P127" s="2163"/>
      <c r="Q127" s="2164"/>
      <c r="R127" s="2165"/>
      <c r="S127" s="2165"/>
      <c r="T127" s="2165"/>
      <c r="U127" s="2165"/>
      <c r="V127" s="2165"/>
      <c r="W127" s="2165"/>
      <c r="X127" s="2165"/>
      <c r="Y127" s="2165"/>
      <c r="Z127" s="2165"/>
      <c r="AA127" s="2165"/>
      <c r="AB127" s="2165"/>
      <c r="AC127" s="2165"/>
    </row>
    <row r="128" spans="1:29" ht="15" thickTop="1">
      <c r="A128" s="731"/>
      <c r="B128" s="669">
        <f>B45</f>
        <v>111</v>
      </c>
      <c r="C128" s="684"/>
      <c r="D128" s="684"/>
      <c r="E128" s="684"/>
      <c r="F128" s="684"/>
      <c r="G128" s="714"/>
      <c r="H128" s="714"/>
      <c r="I128" s="714"/>
      <c r="J128" s="714"/>
      <c r="K128" s="715"/>
      <c r="L128" s="716"/>
      <c r="M128" s="717"/>
      <c r="N128" s="2159"/>
      <c r="O128" s="2159"/>
      <c r="P128" s="2160"/>
      <c r="Q128" s="2153"/>
      <c r="R128" s="2140"/>
      <c r="S128" s="2140"/>
      <c r="T128" s="2140"/>
      <c r="U128" s="2140"/>
      <c r="V128" s="2140"/>
      <c r="W128" s="2140"/>
      <c r="X128" s="2140"/>
      <c r="Y128" s="2140"/>
      <c r="Z128" s="2140"/>
      <c r="AA128" s="2140"/>
      <c r="AB128" s="2140"/>
      <c r="AC128" s="2140"/>
    </row>
    <row r="129" spans="1:29" ht="15.75" thickBot="1">
      <c r="A129" s="665"/>
      <c r="B129" s="674"/>
      <c r="C129" s="688"/>
      <c r="D129" s="688"/>
      <c r="E129" s="688"/>
      <c r="F129" s="688"/>
      <c r="G129" s="667"/>
      <c r="H129" s="667"/>
      <c r="I129" s="667"/>
      <c r="J129" s="667"/>
      <c r="K129" s="667"/>
      <c r="L129" s="667"/>
      <c r="M129" s="668"/>
      <c r="N129" s="2161"/>
      <c r="O129" s="2161"/>
      <c r="P129" s="2160"/>
      <c r="Q129" s="2153"/>
      <c r="R129" s="2140"/>
      <c r="S129" s="2140"/>
      <c r="T129" s="2140"/>
      <c r="U129" s="2140"/>
      <c r="V129" s="2140"/>
      <c r="W129" s="2140"/>
      <c r="X129" s="2140"/>
      <c r="Y129" s="2140"/>
      <c r="Z129" s="2140"/>
      <c r="AA129" s="2140"/>
      <c r="AB129" s="2140"/>
      <c r="AC129" s="2140"/>
    </row>
    <row r="130" spans="1:29" ht="15" thickTop="1">
      <c r="A130" s="731"/>
      <c r="B130" s="677">
        <f>B46</f>
        <v>111</v>
      </c>
      <c r="C130" s="684"/>
      <c r="D130" s="684"/>
      <c r="E130" s="684"/>
      <c r="F130" s="684"/>
      <c r="G130" s="718"/>
      <c r="H130" s="718"/>
      <c r="I130" s="718"/>
      <c r="J130" s="718"/>
      <c r="K130" s="657"/>
      <c r="L130" s="658"/>
      <c r="M130" s="721"/>
      <c r="N130" s="2159"/>
      <c r="O130" s="2159"/>
      <c r="P130" s="2160"/>
      <c r="Q130" s="2153"/>
      <c r="R130" s="2140"/>
      <c r="S130" s="2140"/>
      <c r="T130" s="2140"/>
      <c r="U130" s="2140"/>
      <c r="V130" s="2140"/>
      <c r="W130" s="2140"/>
      <c r="X130" s="2140"/>
      <c r="Y130" s="2140"/>
      <c r="Z130" s="2140"/>
      <c r="AA130" s="2140"/>
      <c r="AB130" s="2140"/>
      <c r="AC130" s="2140"/>
    </row>
    <row r="131" spans="1:29" ht="15.75" thickBot="1">
      <c r="A131" s="888"/>
      <c r="B131" s="695"/>
      <c r="C131" s="696"/>
      <c r="D131" s="696"/>
      <c r="E131" s="696"/>
      <c r="F131" s="696"/>
      <c r="G131" s="722"/>
      <c r="H131" s="722"/>
      <c r="I131" s="722"/>
      <c r="J131" s="722"/>
      <c r="K131" s="722"/>
      <c r="L131" s="722"/>
      <c r="M131" s="723"/>
      <c r="N131" s="2161"/>
      <c r="O131" s="2161"/>
      <c r="P131" s="2160"/>
      <c r="Q131" s="2153"/>
      <c r="R131" s="2140"/>
      <c r="S131" s="2140"/>
      <c r="T131" s="2140"/>
      <c r="U131" s="2140"/>
      <c r="V131" s="2140"/>
      <c r="W131" s="2140"/>
      <c r="X131" s="2140"/>
      <c r="Y131" s="2140"/>
      <c r="Z131" s="2140"/>
      <c r="AA131" s="2140"/>
      <c r="AB131" s="2140"/>
      <c r="AC131" s="2140"/>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ht="15" thickBot="1">
      <c r="A136" s="2174"/>
      <c r="B136" s="1910" t="s">
        <v>2253</v>
      </c>
      <c r="C136" s="1911"/>
      <c r="D136" s="1911"/>
      <c r="E136" s="1911"/>
      <c r="F136" s="1911"/>
      <c r="G136" s="1911"/>
      <c r="H136" s="1911"/>
      <c r="I136" s="1911"/>
      <c r="J136" s="1911"/>
      <c r="K136" s="1912"/>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1913" t="s">
        <v>2254</v>
      </c>
      <c r="C137" s="1914"/>
      <c r="D137" s="1914"/>
      <c r="E137" s="1914"/>
      <c r="F137" s="1914"/>
      <c r="G137" s="1915"/>
      <c r="H137" s="1916"/>
      <c r="I137" s="1917" t="s">
        <v>2255</v>
      </c>
      <c r="J137" s="1914"/>
      <c r="K137" s="1918"/>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1919"/>
      <c r="C138" s="1920" t="s">
        <v>2256</v>
      </c>
      <c r="D138" s="1920" t="s">
        <v>2257</v>
      </c>
      <c r="E138" s="1921" t="s">
        <v>2258</v>
      </c>
      <c r="F138" s="1922" t="s">
        <v>2259</v>
      </c>
      <c r="G138" s="1920" t="s">
        <v>2260</v>
      </c>
      <c r="H138" s="1923" t="s">
        <v>2261</v>
      </c>
      <c r="I138" s="1924"/>
      <c r="J138" s="1920" t="s">
        <v>2262</v>
      </c>
      <c r="K138" s="1923" t="s">
        <v>2263</v>
      </c>
      <c r="L138" s="2176"/>
      <c r="M138" s="2174"/>
      <c r="N138" s="2174"/>
      <c r="O138" s="2174"/>
      <c r="P138" s="2174"/>
      <c r="Q138" s="2174"/>
      <c r="R138" s="2174"/>
      <c r="S138" s="2174"/>
      <c r="T138" s="2174"/>
      <c r="U138" s="2174"/>
      <c r="V138" s="2174"/>
      <c r="W138" s="2174"/>
      <c r="X138" s="2174"/>
      <c r="Y138" s="2174"/>
      <c r="Z138" s="2174"/>
      <c r="AA138" s="2174"/>
      <c r="AB138" s="2174"/>
      <c r="AC138" s="2174"/>
    </row>
    <row r="139" spans="1:29" ht="15">
      <c r="A139" s="2174"/>
      <c r="B139" s="1892">
        <v>6</v>
      </c>
      <c r="C139" s="1893">
        <v>96</v>
      </c>
      <c r="D139" s="1925" t="s">
        <v>2264</v>
      </c>
      <c r="E139" s="1894">
        <v>100</v>
      </c>
      <c r="F139" s="1895">
        <v>102.5</v>
      </c>
      <c r="G139" s="1925" t="s">
        <v>2265</v>
      </c>
      <c r="H139" s="1896">
        <v>105</v>
      </c>
      <c r="I139" s="1926" t="s">
        <v>2266</v>
      </c>
      <c r="J139" s="1893">
        <v>20</v>
      </c>
      <c r="K139" s="1897">
        <f>C145/(J139-2)</f>
        <v>4.0555555555555553E-3</v>
      </c>
      <c r="L139" s="2176"/>
      <c r="M139" s="2174"/>
      <c r="N139" s="2174"/>
      <c r="O139" s="2174"/>
      <c r="P139" s="2174"/>
      <c r="Q139" s="2174"/>
      <c r="R139" s="2174"/>
      <c r="S139" s="2174"/>
      <c r="T139" s="2174"/>
      <c r="U139" s="2174"/>
      <c r="V139" s="2174"/>
      <c r="W139" s="2174"/>
      <c r="X139" s="2174"/>
      <c r="Y139" s="2174"/>
      <c r="Z139" s="2174"/>
      <c r="AA139" s="2174"/>
      <c r="AB139" s="2174"/>
      <c r="AC139" s="2174"/>
    </row>
    <row r="140" spans="1:29" ht="15">
      <c r="A140" s="2174"/>
      <c r="B140" s="1898">
        <v>5</v>
      </c>
      <c r="C140" s="1899">
        <v>100</v>
      </c>
      <c r="D140" s="1927"/>
      <c r="E140" s="1900"/>
      <c r="F140" s="1901">
        <v>102</v>
      </c>
      <c r="G140" s="1927"/>
      <c r="H140" s="1902"/>
      <c r="I140" s="1928" t="s">
        <v>2267</v>
      </c>
      <c r="J140" s="842">
        <f>ROUNDUP((J139-1)/2,0)</f>
        <v>10</v>
      </c>
      <c r="K140" s="1903">
        <v>100</v>
      </c>
      <c r="L140" s="2176"/>
      <c r="M140" s="2174"/>
      <c r="N140" s="2174"/>
      <c r="O140" s="2174"/>
      <c r="P140" s="2174"/>
      <c r="Q140" s="2174"/>
      <c r="R140" s="2174"/>
      <c r="S140" s="2174"/>
      <c r="T140" s="2174"/>
      <c r="U140" s="2174"/>
      <c r="V140" s="2174"/>
      <c r="W140" s="2174"/>
      <c r="X140" s="2174"/>
      <c r="Y140" s="2174"/>
      <c r="Z140" s="2174"/>
      <c r="AA140" s="2174"/>
      <c r="AB140" s="2174"/>
      <c r="AC140" s="2174"/>
    </row>
    <row r="141" spans="1:29" ht="15">
      <c r="A141" s="2174"/>
      <c r="B141" s="1898">
        <v>4</v>
      </c>
      <c r="C141" s="1899">
        <v>102</v>
      </c>
      <c r="D141" s="1927"/>
      <c r="E141" s="1900"/>
      <c r="F141" s="1901">
        <v>101.5</v>
      </c>
      <c r="G141" s="1927"/>
      <c r="H141" s="1902"/>
      <c r="I141" s="1928" t="s">
        <v>2268</v>
      </c>
      <c r="J141" s="842">
        <v>1</v>
      </c>
      <c r="K141" s="1904">
        <f>ROUND(100+(J141-J140)*K139*100,1)</f>
        <v>96.4</v>
      </c>
      <c r="L141" s="2176"/>
      <c r="M141" s="2174"/>
      <c r="N141" s="2174"/>
      <c r="O141" s="2174"/>
      <c r="P141" s="2174"/>
      <c r="Q141" s="2174"/>
      <c r="R141" s="2174"/>
      <c r="S141" s="2174"/>
      <c r="T141" s="2174"/>
      <c r="U141" s="2174"/>
      <c r="V141" s="2174"/>
      <c r="W141" s="2174"/>
      <c r="X141" s="2174"/>
      <c r="Y141" s="2174"/>
      <c r="Z141" s="2174"/>
      <c r="AA141" s="2174"/>
      <c r="AB141" s="2174"/>
      <c r="AC141" s="2174"/>
    </row>
    <row r="142" spans="1:29" ht="15">
      <c r="A142" s="2174"/>
      <c r="B142" s="1898">
        <v>3</v>
      </c>
      <c r="C142" s="1899">
        <v>103</v>
      </c>
      <c r="D142" s="1927"/>
      <c r="E142" s="1900"/>
      <c r="F142" s="1901">
        <v>101</v>
      </c>
      <c r="G142" s="1927"/>
      <c r="H142" s="1902"/>
      <c r="I142" s="1928" t="s">
        <v>2269</v>
      </c>
      <c r="J142" s="842">
        <f>J139</f>
        <v>20</v>
      </c>
      <c r="K142" s="1905">
        <v>95</v>
      </c>
      <c r="L142" s="2176"/>
      <c r="M142" s="2174"/>
      <c r="N142" s="2174"/>
      <c r="O142" s="2174"/>
      <c r="P142" s="2174"/>
      <c r="Q142" s="2174"/>
      <c r="R142" s="2174"/>
      <c r="S142" s="2174"/>
      <c r="T142" s="2174"/>
      <c r="U142" s="2174"/>
      <c r="V142" s="2174"/>
      <c r="W142" s="2174"/>
      <c r="X142" s="2174"/>
      <c r="Y142" s="2174"/>
      <c r="Z142" s="2174"/>
      <c r="AA142" s="2174"/>
      <c r="AB142" s="2174"/>
      <c r="AC142" s="2174"/>
    </row>
    <row r="143" spans="1:29" ht="15">
      <c r="A143" s="2174"/>
      <c r="B143" s="1898">
        <v>2</v>
      </c>
      <c r="C143" s="1899">
        <v>100</v>
      </c>
      <c r="D143" s="1927"/>
      <c r="E143" s="1900"/>
      <c r="F143" s="1901">
        <v>100.5</v>
      </c>
      <c r="G143" s="1927"/>
      <c r="H143" s="1902"/>
      <c r="I143" s="1928" t="s">
        <v>2270</v>
      </c>
      <c r="J143" s="1899">
        <v>15</v>
      </c>
      <c r="K143" s="1904">
        <f>ROUND(100+(J143-J140)*K139*100,1)</f>
        <v>102</v>
      </c>
      <c r="L143" s="2176"/>
      <c r="M143" s="2174"/>
      <c r="N143" s="2174"/>
      <c r="O143" s="2174"/>
      <c r="P143" s="2174"/>
      <c r="Q143" s="2174"/>
      <c r="R143" s="2174"/>
      <c r="S143" s="2174"/>
      <c r="T143" s="2174"/>
      <c r="U143" s="2174"/>
      <c r="V143" s="2174"/>
      <c r="W143" s="2174"/>
      <c r="X143" s="2174"/>
      <c r="Y143" s="2174"/>
      <c r="Z143" s="2174"/>
      <c r="AA143" s="2174"/>
      <c r="AB143" s="2174"/>
      <c r="AC143" s="2174"/>
    </row>
    <row r="144" spans="1:29" ht="15">
      <c r="A144" s="2174"/>
      <c r="B144" s="1898">
        <v>1</v>
      </c>
      <c r="C144" s="1899">
        <v>98</v>
      </c>
      <c r="D144" s="1929" t="s">
        <v>2271</v>
      </c>
      <c r="E144" s="1900">
        <v>102</v>
      </c>
      <c r="F144" s="1906">
        <v>100</v>
      </c>
      <c r="G144" s="1929" t="s">
        <v>2271</v>
      </c>
      <c r="H144" s="1902">
        <v>105</v>
      </c>
      <c r="I144" s="1928" t="s">
        <v>2270</v>
      </c>
      <c r="J144" s="1899">
        <v>18</v>
      </c>
      <c r="K144" s="1904">
        <f>ROUND(100+(J144-J140)*K139*100,1)</f>
        <v>103.2</v>
      </c>
      <c r="L144" s="2176"/>
      <c r="M144" s="2174"/>
      <c r="N144" s="2174"/>
      <c r="O144" s="2174"/>
      <c r="P144" s="2174"/>
      <c r="Q144" s="2174"/>
      <c r="R144" s="2174"/>
      <c r="S144" s="2174"/>
      <c r="T144" s="2174"/>
      <c r="U144" s="2174"/>
      <c r="V144" s="2174"/>
      <c r="W144" s="2174"/>
      <c r="X144" s="2174"/>
      <c r="Y144" s="2174"/>
      <c r="Z144" s="2174"/>
      <c r="AA144" s="2174"/>
      <c r="AB144" s="2174"/>
      <c r="AC144" s="2174"/>
    </row>
    <row r="145" spans="1:29" ht="15.75" thickBot="1">
      <c r="A145" s="2174"/>
      <c r="B145" s="1930" t="s">
        <v>2272</v>
      </c>
      <c r="C145" s="1907">
        <f>ROUND(MAX(C139:C144)/MIN(C139:C144)-1,3)</f>
        <v>7.2999999999999995E-2</v>
      </c>
      <c r="D145" s="1931"/>
      <c r="E145" s="1931"/>
      <c r="F145" s="1932" t="s">
        <v>2273</v>
      </c>
      <c r="G145" s="1933"/>
      <c r="H145" s="1934"/>
      <c r="I145" s="1935" t="s">
        <v>2270</v>
      </c>
      <c r="J145" s="1908">
        <v>8</v>
      </c>
      <c r="K145" s="1909">
        <f>ROUND(100+(J145-J140)*K139*100,1)</f>
        <v>99.2</v>
      </c>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1954" t="s">
        <v>2282</v>
      </c>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1954" t="s">
        <v>2283</v>
      </c>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c r="A256" s="2174"/>
      <c r="B256" s="2174"/>
      <c r="C256" s="2174"/>
      <c r="D256" s="2174"/>
      <c r="E256" s="2174"/>
      <c r="F256" s="2174"/>
      <c r="G256" s="2174"/>
      <c r="H256" s="2174"/>
      <c r="I256" s="2174"/>
      <c r="J256" s="2174"/>
      <c r="K256" s="2175"/>
      <c r="L256" s="2176"/>
      <c r="M256" s="2174"/>
      <c r="N256" s="2174"/>
      <c r="O256" s="2174"/>
      <c r="P256" s="2174"/>
      <c r="Q256" s="2174"/>
      <c r="R256" s="2174"/>
      <c r="S256" s="2174"/>
      <c r="T256" s="2174"/>
      <c r="U256" s="2174"/>
      <c r="V256" s="2174"/>
      <c r="W256" s="2174"/>
      <c r="X256" s="2174"/>
      <c r="Y256" s="2174"/>
      <c r="Z256" s="2174"/>
      <c r="AA256" s="2174"/>
      <c r="AB256" s="2174"/>
      <c r="AC256" s="2174"/>
    </row>
    <row r="257" spans="1:29">
      <c r="A257" s="2174"/>
      <c r="B257" s="2174"/>
      <c r="C257" s="2174"/>
      <c r="D257" s="2174"/>
      <c r="E257" s="2174"/>
      <c r="F257" s="2174"/>
      <c r="G257" s="2174"/>
      <c r="H257" s="2174"/>
      <c r="I257" s="2174"/>
      <c r="J257" s="2174"/>
      <c r="K257" s="2175"/>
      <c r="L257" s="2176"/>
      <c r="M257" s="2174"/>
      <c r="N257" s="2174"/>
      <c r="O257" s="2174"/>
      <c r="P257" s="2174"/>
      <c r="Q257" s="2174"/>
      <c r="R257" s="2174"/>
      <c r="S257" s="2174"/>
      <c r="T257" s="2174"/>
      <c r="U257" s="2174"/>
      <c r="V257" s="2174"/>
      <c r="W257" s="2174"/>
      <c r="X257" s="2174"/>
      <c r="Y257" s="2174"/>
      <c r="Z257" s="2174"/>
      <c r="AA257" s="2174"/>
      <c r="AB257" s="2174"/>
      <c r="AC257" s="2174"/>
    </row>
    <row r="258" spans="1:29">
      <c r="A258" s="2174"/>
      <c r="B258" s="2174"/>
      <c r="C258" s="2174"/>
      <c r="D258" s="2174"/>
      <c r="E258" s="2174"/>
      <c r="F258" s="2174"/>
      <c r="G258" s="2174"/>
      <c r="H258" s="2174"/>
      <c r="I258" s="2174"/>
      <c r="J258" s="2174"/>
      <c r="K258" s="2175"/>
      <c r="L258" s="2176"/>
      <c r="M258" s="2174"/>
      <c r="N258" s="2174"/>
      <c r="O258" s="2174"/>
      <c r="P258" s="2174"/>
      <c r="Q258" s="2174"/>
      <c r="R258" s="2174"/>
      <c r="S258" s="2174"/>
      <c r="T258" s="2174"/>
      <c r="U258" s="2174"/>
      <c r="V258" s="2174"/>
      <c r="W258" s="2174"/>
      <c r="X258" s="2174"/>
      <c r="Y258" s="2174"/>
      <c r="Z258" s="2174"/>
      <c r="AA258" s="2174"/>
      <c r="AB258" s="2174"/>
      <c r="AC258" s="2174"/>
    </row>
    <row r="259" spans="1:29">
      <c r="A259" s="2174"/>
      <c r="B259" s="2174"/>
      <c r="C259" s="2174"/>
      <c r="D259" s="2174"/>
      <c r="E259" s="2174"/>
      <c r="F259" s="2174"/>
      <c r="G259" s="2174"/>
      <c r="H259" s="2174"/>
      <c r="I259" s="2174"/>
      <c r="J259" s="2174"/>
      <c r="K259" s="2175"/>
      <c r="L259" s="2176"/>
      <c r="M259" s="2174"/>
      <c r="N259" s="2174"/>
      <c r="O259" s="2174"/>
      <c r="P259" s="2174"/>
      <c r="Q259" s="2174"/>
      <c r="R259" s="2174"/>
      <c r="S259" s="2174"/>
      <c r="T259" s="2174"/>
      <c r="U259" s="2174"/>
      <c r="V259" s="2174"/>
      <c r="W259" s="2174"/>
      <c r="X259" s="2174"/>
      <c r="Y259" s="2174"/>
      <c r="Z259" s="2174"/>
      <c r="AA259" s="2174"/>
      <c r="AB259" s="2174"/>
      <c r="AC259" s="2174"/>
    </row>
    <row r="260" spans="1:29">
      <c r="A260" s="2174"/>
      <c r="B260" s="2174"/>
      <c r="C260" s="2174"/>
      <c r="D260" s="2174"/>
      <c r="E260" s="2174"/>
      <c r="F260" s="2174"/>
      <c r="G260" s="2174"/>
      <c r="H260" s="2174"/>
      <c r="I260" s="2174"/>
      <c r="J260" s="2174"/>
      <c r="K260" s="2175"/>
      <c r="L260" s="2176"/>
      <c r="M260" s="2174"/>
      <c r="N260" s="2174"/>
      <c r="O260" s="2174"/>
      <c r="P260" s="2174"/>
      <c r="Q260" s="2174"/>
      <c r="R260" s="2174"/>
      <c r="S260" s="2174"/>
      <c r="T260" s="2174"/>
      <c r="U260" s="2174"/>
      <c r="V260" s="2174"/>
      <c r="W260" s="2174"/>
      <c r="X260" s="2174"/>
      <c r="Y260" s="2174"/>
      <c r="Z260" s="2174"/>
      <c r="AA260" s="2174"/>
      <c r="AB260" s="2174"/>
      <c r="AC260" s="2174"/>
    </row>
    <row r="261" spans="1:29">
      <c r="A261" s="2174"/>
      <c r="B261" s="2174"/>
      <c r="C261" s="2174"/>
      <c r="D261" s="2174"/>
      <c r="E261" s="2174"/>
      <c r="F261" s="2174"/>
      <c r="G261" s="2174"/>
      <c r="H261" s="2174"/>
      <c r="I261" s="2174"/>
      <c r="J261" s="2174"/>
      <c r="K261" s="2175"/>
      <c r="L261" s="2176"/>
      <c r="M261" s="2174"/>
      <c r="N261" s="2174"/>
      <c r="O261" s="2174"/>
      <c r="P261" s="2174"/>
      <c r="Q261" s="2174"/>
      <c r="R261" s="2174"/>
      <c r="S261" s="2174"/>
      <c r="T261" s="2174"/>
      <c r="U261" s="2174"/>
      <c r="V261" s="2174"/>
      <c r="W261" s="2174"/>
      <c r="X261" s="2174"/>
      <c r="Y261" s="2174"/>
      <c r="Z261" s="2174"/>
      <c r="AA261" s="2174"/>
      <c r="AB261" s="2174"/>
      <c r="AC261" s="2174"/>
    </row>
    <row r="262" spans="1:29">
      <c r="A262" s="2174"/>
      <c r="B262" s="2174"/>
      <c r="C262" s="2174"/>
      <c r="D262" s="2174"/>
      <c r="E262" s="2174"/>
      <c r="F262" s="2174"/>
      <c r="G262" s="2174"/>
      <c r="H262" s="2174"/>
      <c r="I262" s="2174"/>
      <c r="J262" s="2174"/>
      <c r="K262" s="2175"/>
      <c r="L262" s="2176"/>
      <c r="M262" s="2174"/>
      <c r="N262" s="2174"/>
      <c r="O262" s="2174"/>
      <c r="P262" s="2174"/>
      <c r="Q262" s="2174"/>
      <c r="R262" s="2174"/>
      <c r="S262" s="2174"/>
      <c r="T262" s="2174"/>
      <c r="U262" s="2174"/>
      <c r="V262" s="2174"/>
      <c r="W262" s="2174"/>
      <c r="X262" s="2174"/>
      <c r="Y262" s="2174"/>
      <c r="Z262" s="2174"/>
      <c r="AA262" s="2174"/>
      <c r="AB262" s="2174"/>
      <c r="AC262" s="2174"/>
    </row>
    <row r="263" spans="1:29">
      <c r="A263" s="2174"/>
      <c r="B263" s="2174"/>
      <c r="C263" s="2174"/>
      <c r="D263" s="2174"/>
      <c r="E263" s="2174"/>
      <c r="F263" s="2174"/>
      <c r="G263" s="2174"/>
      <c r="H263" s="2174"/>
      <c r="I263" s="2174"/>
      <c r="J263" s="2174"/>
      <c r="K263" s="2175"/>
      <c r="L263" s="2176"/>
      <c r="M263" s="2174"/>
      <c r="N263" s="2174"/>
      <c r="O263" s="2174"/>
      <c r="P263" s="2174"/>
      <c r="Q263" s="2174"/>
      <c r="R263" s="2174"/>
      <c r="S263" s="2174"/>
      <c r="T263" s="2174"/>
      <c r="U263" s="2174"/>
      <c r="V263" s="2174"/>
      <c r="W263" s="2174"/>
      <c r="X263" s="2174"/>
      <c r="Y263" s="2174"/>
      <c r="Z263" s="2174"/>
      <c r="AA263" s="2174"/>
      <c r="AB263" s="2174"/>
      <c r="AC263" s="2174"/>
    </row>
    <row r="264" spans="1:29">
      <c r="A264" s="2174"/>
      <c r="B264" s="2174"/>
      <c r="C264" s="2174"/>
      <c r="D264" s="2174"/>
      <c r="E264" s="2174"/>
      <c r="F264" s="2174"/>
      <c r="G264" s="2174"/>
      <c r="H264" s="2174"/>
      <c r="I264" s="2174"/>
      <c r="J264" s="2174"/>
      <c r="K264" s="2175"/>
      <c r="L264" s="2176"/>
      <c r="M264" s="2174"/>
      <c r="N264" s="2174"/>
      <c r="O264" s="2174"/>
      <c r="P264" s="2174"/>
      <c r="Q264" s="2174"/>
      <c r="R264" s="2174"/>
      <c r="S264" s="2174"/>
      <c r="T264" s="2174"/>
      <c r="U264" s="2174"/>
      <c r="V264" s="2174"/>
      <c r="W264" s="2174"/>
      <c r="X264" s="2174"/>
      <c r="Y264" s="2174"/>
      <c r="Z264" s="2174"/>
      <c r="AA264" s="2174"/>
      <c r="AB264" s="2174"/>
      <c r="AC264" s="2174"/>
    </row>
    <row r="265" spans="1:29">
      <c r="A265" s="2174"/>
      <c r="B265" s="2174"/>
      <c r="C265" s="2174"/>
      <c r="D265" s="2174"/>
      <c r="E265" s="2174"/>
      <c r="F265" s="2174"/>
      <c r="G265" s="2174"/>
      <c r="H265" s="2174"/>
      <c r="I265" s="2174"/>
      <c r="J265" s="2174"/>
      <c r="K265" s="2175"/>
      <c r="L265" s="2176"/>
      <c r="M265" s="2174"/>
      <c r="N265" s="2174"/>
      <c r="O265" s="2174"/>
      <c r="P265" s="2174"/>
      <c r="Q265" s="2174"/>
      <c r="R265" s="2174"/>
      <c r="S265" s="2174"/>
      <c r="T265" s="2174"/>
      <c r="U265" s="2174"/>
      <c r="V265" s="2174"/>
      <c r="W265" s="2174"/>
      <c r="X265" s="2174"/>
      <c r="Y265" s="2174"/>
      <c r="Z265" s="2174"/>
      <c r="AA265" s="2174"/>
      <c r="AB265" s="2174"/>
      <c r="AC265" s="2174"/>
    </row>
    <row r="266" spans="1:29">
      <c r="A266" s="2174"/>
      <c r="B266" s="2174"/>
      <c r="C266" s="2174"/>
      <c r="D266" s="2174"/>
      <c r="E266" s="2174"/>
      <c r="F266" s="2174"/>
      <c r="G266" s="2174"/>
      <c r="H266" s="2174"/>
      <c r="I266" s="2174"/>
      <c r="J266" s="2174"/>
      <c r="K266" s="2175"/>
      <c r="L266" s="2176"/>
      <c r="M266" s="2174"/>
      <c r="N266" s="2174"/>
      <c r="O266" s="2174"/>
      <c r="P266" s="2174"/>
      <c r="Q266" s="2174"/>
      <c r="R266" s="2174"/>
      <c r="S266" s="2174"/>
      <c r="T266" s="2174"/>
      <c r="U266" s="2174"/>
      <c r="V266" s="2174"/>
      <c r="W266" s="2174"/>
      <c r="X266" s="2174"/>
      <c r="Y266" s="2174"/>
      <c r="Z266" s="2174"/>
      <c r="AA266" s="2174"/>
      <c r="AB266" s="2174"/>
      <c r="AC266" s="2174"/>
    </row>
    <row r="267" spans="1:29">
      <c r="A267" s="2174"/>
      <c r="B267" s="2174"/>
      <c r="C267" s="2174"/>
      <c r="D267" s="2174"/>
      <c r="E267" s="2174"/>
      <c r="F267" s="2174"/>
      <c r="G267" s="2174"/>
      <c r="H267" s="2174"/>
      <c r="I267" s="2174"/>
      <c r="J267" s="2174"/>
      <c r="K267" s="2175"/>
      <c r="L267" s="2176"/>
      <c r="M267" s="2174"/>
      <c r="N267" s="2174"/>
      <c r="O267" s="2174"/>
      <c r="P267" s="2174"/>
      <c r="Q267" s="2174"/>
      <c r="R267" s="2174"/>
      <c r="S267" s="2174"/>
      <c r="T267" s="2174"/>
      <c r="U267" s="2174"/>
      <c r="V267" s="2174"/>
      <c r="W267" s="2174"/>
      <c r="X267" s="2174"/>
      <c r="Y267" s="2174"/>
      <c r="Z267" s="2174"/>
      <c r="AA267" s="2174"/>
      <c r="AB267" s="2174"/>
      <c r="AC267" s="2174"/>
    </row>
    <row r="268" spans="1:29">
      <c r="A268" s="2174"/>
      <c r="B268" s="2174"/>
      <c r="C268" s="2174"/>
      <c r="D268" s="2174"/>
      <c r="E268" s="2174"/>
      <c r="F268" s="2174"/>
      <c r="G268" s="2174"/>
      <c r="H268" s="2174"/>
      <c r="I268" s="2174"/>
      <c r="J268" s="2174"/>
      <c r="K268" s="2175"/>
      <c r="L268" s="2176"/>
      <c r="M268" s="2174"/>
      <c r="N268" s="2174"/>
      <c r="O268" s="2174"/>
      <c r="P268" s="2174"/>
      <c r="Q268" s="2174"/>
      <c r="R268" s="2174"/>
      <c r="S268" s="2174"/>
      <c r="T268" s="2174"/>
      <c r="U268" s="2174"/>
      <c r="V268" s="2174"/>
      <c r="W268" s="2174"/>
      <c r="X268" s="2174"/>
      <c r="Y268" s="2174"/>
      <c r="Z268" s="2174"/>
      <c r="AA268" s="2174"/>
      <c r="AB268" s="2174"/>
      <c r="AC268" s="2174"/>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38" priority="15" stopIfTrue="1" operator="containsText" text="超过">
      <formula>NOT(ISERROR(SEARCH("超过",F52)))</formula>
    </cfRule>
  </conditionalFormatting>
  <conditionalFormatting sqref="J54">
    <cfRule type="containsText" dxfId="137" priority="14" stopIfTrue="1" operator="containsText" text="超过">
      <formula>NOT(ISERROR(SEARCH("超过",J54)))</formula>
    </cfRule>
  </conditionalFormatting>
  <conditionalFormatting sqref="H54">
    <cfRule type="containsText" dxfId="136" priority="13" stopIfTrue="1" operator="containsText" text="超过">
      <formula>NOT(ISERROR(SEARCH("超过",H54)))</formula>
    </cfRule>
  </conditionalFormatting>
  <conditionalFormatting sqref="F54">
    <cfRule type="containsText" dxfId="135" priority="12" stopIfTrue="1" operator="containsText" text="超过">
      <formula>NOT(ISERROR(SEARCH("超过",F54)))</formula>
    </cfRule>
  </conditionalFormatting>
  <conditionalFormatting sqref="F53 H53 J53">
    <cfRule type="containsText" dxfId="134" priority="11" stopIfTrue="1" operator="containsText" text="超过">
      <formula>NOT(ISERROR(SEARCH("超过",F53)))</formula>
    </cfRule>
  </conditionalFormatting>
  <conditionalFormatting sqref="E52">
    <cfRule type="expression" dxfId="133" priority="10" stopIfTrue="1">
      <formula>$F$52="超过30%"</formula>
    </cfRule>
  </conditionalFormatting>
  <conditionalFormatting sqref="G54">
    <cfRule type="expression" dxfId="132" priority="8" stopIfTrue="1">
      <formula>$H$54="超过30%"</formula>
    </cfRule>
  </conditionalFormatting>
  <conditionalFormatting sqref="E53">
    <cfRule type="expression" dxfId="131" priority="7" stopIfTrue="1">
      <formula>$F$53="超过20%"</formula>
    </cfRule>
  </conditionalFormatting>
  <conditionalFormatting sqref="E54">
    <cfRule type="expression" dxfId="130" priority="6" stopIfTrue="1">
      <formula>$F$54="超过30%"</formula>
    </cfRule>
  </conditionalFormatting>
  <conditionalFormatting sqref="G52">
    <cfRule type="expression" dxfId="129" priority="5" stopIfTrue="1">
      <formula>$H$52="超过30%"</formula>
    </cfRule>
  </conditionalFormatting>
  <conditionalFormatting sqref="G53">
    <cfRule type="expression" dxfId="128" priority="4" stopIfTrue="1">
      <formula>$H$53="超过20%"</formula>
    </cfRule>
  </conditionalFormatting>
  <conditionalFormatting sqref="I52">
    <cfRule type="expression" dxfId="127" priority="3" stopIfTrue="1">
      <formula>$J$52="超过30%"</formula>
    </cfRule>
  </conditionalFormatting>
  <conditionalFormatting sqref="I53">
    <cfRule type="expression" dxfId="126" priority="2" stopIfTrue="1">
      <formula>$J$53="超过20%"</formula>
    </cfRule>
  </conditionalFormatting>
  <conditionalFormatting sqref="I54">
    <cfRule type="expression" dxfId="125" priority="1" stopIfTrue="1">
      <formula>$J$54="超过30%"</formula>
    </cfRule>
  </conditionalFormatting>
  <dataValidations count="21">
    <dataValidation type="list" allowBlank="1" showInputMessage="1" showErrorMessage="1" sqref="E24 C24 I24 G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G22 E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63"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O49" sqref="O49"/>
    </sheetView>
  </sheetViews>
  <sheetFormatPr defaultRowHeight="14.25"/>
  <cols>
    <col min="1" max="1" width="10.5" style="1332" customWidth="1"/>
    <col min="2" max="2" width="15.75" style="1332" customWidth="1"/>
    <col min="3" max="3" width="21" style="1332" customWidth="1"/>
    <col min="4" max="4" width="12.25" style="1332" customWidth="1"/>
    <col min="5" max="5" width="17.375" style="1332" customWidth="1"/>
    <col min="6" max="6" width="12.25" style="1332" customWidth="1"/>
    <col min="7" max="7" width="18.25" style="1332" customWidth="1"/>
    <col min="8" max="8" width="12.25" style="1332" customWidth="1"/>
    <col min="9" max="9" width="18.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0" t="s">
        <v>712</v>
      </c>
      <c r="B1" s="2642" t="s">
        <v>713</v>
      </c>
      <c r="C1" s="2643" t="s">
        <v>714</v>
      </c>
      <c r="D1" s="2644" t="s">
        <v>3099</v>
      </c>
      <c r="E1" s="2645"/>
      <c r="F1" s="2828" t="s">
        <v>3073</v>
      </c>
      <c r="G1" s="1596" t="s">
        <v>715</v>
      </c>
      <c r="H1" s="504"/>
      <c r="I1" s="504"/>
      <c r="J1" s="504"/>
      <c r="K1" s="505"/>
      <c r="L1" s="1557"/>
      <c r="M1" s="1558"/>
      <c r="N1" s="1558"/>
      <c r="O1" s="1558"/>
      <c r="P1" s="1559"/>
      <c r="Q1" s="1559"/>
      <c r="R1" s="1559"/>
      <c r="S1" s="1559"/>
      <c r="T1" s="1559"/>
      <c r="U1" s="1559"/>
      <c r="V1" s="1559"/>
      <c r="W1" s="1559"/>
      <c r="X1" s="1559"/>
      <c r="Y1" s="1559"/>
      <c r="Z1" s="1559"/>
      <c r="AA1" s="1559"/>
      <c r="AB1" s="1559"/>
      <c r="AC1" s="1560"/>
    </row>
    <row r="2" spans="1:29" s="1357" customFormat="1" ht="28.5" customHeight="1">
      <c r="A2" s="421" t="s">
        <v>460</v>
      </c>
      <c r="B2" s="2641">
        <f>ROUND(B3*D3/10000,0)</f>
        <v>206420</v>
      </c>
      <c r="C2" s="2122"/>
      <c r="D2" s="2122"/>
      <c r="E2" s="2122"/>
      <c r="F2" s="2196"/>
      <c r="G2" s="2122"/>
      <c r="H2" s="2122"/>
      <c r="I2" s="2122"/>
      <c r="J2" s="2122"/>
      <c r="K2" s="2197"/>
      <c r="L2" s="2198"/>
      <c r="M2" s="2199"/>
      <c r="N2" s="2199"/>
      <c r="O2" s="2199"/>
      <c r="P2" s="1597"/>
      <c r="Q2" s="1597"/>
      <c r="R2" s="1597"/>
      <c r="S2" s="1597"/>
      <c r="T2" s="1597"/>
      <c r="U2" s="1597"/>
      <c r="V2" s="1597"/>
      <c r="W2" s="1597"/>
      <c r="X2" s="1597"/>
      <c r="Y2" s="1597"/>
      <c r="Z2" s="1597"/>
      <c r="AA2" s="1597"/>
      <c r="AB2" s="1597"/>
      <c r="AC2" s="1598"/>
    </row>
    <row r="3" spans="1:29" s="1357" customFormat="1" ht="28.5" customHeight="1" thickBot="1">
      <c r="A3" s="507" t="s">
        <v>513</v>
      </c>
      <c r="B3" s="847">
        <f>C49</f>
        <v>50595</v>
      </c>
      <c r="C3" s="848" t="s">
        <v>716</v>
      </c>
      <c r="D3" s="847">
        <f>SUMIF('数据-汇总表'!$C19:$C33,D1,'数据-汇总表'!$E19:$E33)</f>
        <v>40798.44</v>
      </c>
      <c r="E3" s="2122"/>
      <c r="F3" s="2196"/>
      <c r="G3" s="2122"/>
      <c r="H3" s="2122"/>
      <c r="I3" s="2122"/>
      <c r="J3" s="2122"/>
      <c r="K3" s="2197"/>
      <c r="L3" s="2198"/>
      <c r="M3" s="2199"/>
      <c r="N3" s="2199"/>
      <c r="O3" s="2199"/>
      <c r="P3" s="1597"/>
      <c r="Q3" s="1597"/>
      <c r="R3" s="1597"/>
      <c r="S3" s="1597"/>
      <c r="T3" s="1597"/>
      <c r="U3" s="1597"/>
      <c r="V3" s="1597"/>
      <c r="W3" s="1597"/>
      <c r="X3" s="1597"/>
      <c r="Y3" s="1597"/>
      <c r="Z3" s="1597"/>
      <c r="AA3" s="1597"/>
      <c r="AB3" s="1597"/>
      <c r="AC3" s="1599"/>
    </row>
    <row r="4" spans="1:29" ht="15">
      <c r="A4" s="510" t="s">
        <v>515</v>
      </c>
      <c r="B4" s="511"/>
      <c r="C4" s="3469" t="s">
        <v>516</v>
      </c>
      <c r="D4" s="3470"/>
      <c r="E4" s="3493" t="s">
        <v>517</v>
      </c>
      <c r="F4" s="3494"/>
      <c r="G4" s="3469" t="s">
        <v>518</v>
      </c>
      <c r="H4" s="3470"/>
      <c r="I4" s="3469" t="s">
        <v>519</v>
      </c>
      <c r="J4" s="3470"/>
      <c r="K4" s="849" t="s">
        <v>520</v>
      </c>
      <c r="L4" s="2128"/>
      <c r="M4" s="2129"/>
      <c r="N4" s="2129"/>
      <c r="O4" s="2129"/>
      <c r="P4" s="3471" t="s">
        <v>521</v>
      </c>
      <c r="Q4" s="3472"/>
      <c r="R4" s="3457" t="s">
        <v>517</v>
      </c>
      <c r="S4" s="3458"/>
      <c r="T4" s="3457" t="s">
        <v>518</v>
      </c>
      <c r="U4" s="3458"/>
      <c r="V4" s="3477" t="s">
        <v>519</v>
      </c>
      <c r="W4" s="3477"/>
      <c r="X4" s="3183"/>
      <c r="Y4" s="3457" t="s">
        <v>521</v>
      </c>
      <c r="Z4" s="3458"/>
      <c r="AA4" s="3452" t="s">
        <v>517</v>
      </c>
      <c r="AB4" s="3452" t="s">
        <v>518</v>
      </c>
      <c r="AC4" s="3452" t="s">
        <v>519</v>
      </c>
    </row>
    <row r="5" spans="1:29" ht="15">
      <c r="A5" s="513"/>
      <c r="B5" s="514"/>
      <c r="C5" s="3540" t="s">
        <v>3222</v>
      </c>
      <c r="D5" s="3481"/>
      <c r="E5" s="3539" t="s">
        <v>3228</v>
      </c>
      <c r="F5" s="3496"/>
      <c r="G5" s="3540" t="s">
        <v>3225</v>
      </c>
      <c r="H5" s="3481"/>
      <c r="I5" s="3540" t="s">
        <v>3223</v>
      </c>
      <c r="J5" s="3481"/>
      <c r="K5" s="850"/>
      <c r="L5" s="2128"/>
      <c r="M5" s="2129"/>
      <c r="N5" s="2129"/>
      <c r="O5" s="2129"/>
      <c r="P5" s="3473"/>
      <c r="Q5" s="3474"/>
      <c r="R5" s="3459"/>
      <c r="S5" s="3460"/>
      <c r="T5" s="3459"/>
      <c r="U5" s="3460"/>
      <c r="V5" s="3477"/>
      <c r="W5" s="3477"/>
      <c r="X5" s="3183"/>
      <c r="Y5" s="3459"/>
      <c r="Z5" s="3460"/>
      <c r="AA5" s="3453"/>
      <c r="AB5" s="3453"/>
      <c r="AC5" s="3453"/>
    </row>
    <row r="6" spans="1:29" ht="15.75" thickBot="1">
      <c r="A6" s="515"/>
      <c r="B6" s="516"/>
      <c r="C6" s="3478" t="s">
        <v>2927</v>
      </c>
      <c r="D6" s="3479"/>
      <c r="E6" s="3497" t="s">
        <v>2927</v>
      </c>
      <c r="F6" s="3498"/>
      <c r="G6" s="3478" t="s">
        <v>2927</v>
      </c>
      <c r="H6" s="3479"/>
      <c r="I6" s="3478" t="s">
        <v>2927</v>
      </c>
      <c r="J6" s="3479"/>
      <c r="K6" s="850" t="s">
        <v>522</v>
      </c>
      <c r="L6" s="2128"/>
      <c r="M6" s="2129"/>
      <c r="N6" s="2129"/>
      <c r="O6" s="2129"/>
      <c r="P6" s="3475"/>
      <c r="Q6" s="3476"/>
      <c r="R6" s="3459"/>
      <c r="S6" s="3460"/>
      <c r="T6" s="3461"/>
      <c r="U6" s="3462"/>
      <c r="V6" s="3477"/>
      <c r="W6" s="3477"/>
      <c r="X6" s="3183"/>
      <c r="Y6" s="3461"/>
      <c r="Z6" s="3462"/>
      <c r="AA6" s="3454"/>
      <c r="AB6" s="3454"/>
      <c r="AC6" s="3454"/>
    </row>
    <row r="7" spans="1:29" s="1215" customFormat="1" ht="15.75" thickBot="1">
      <c r="A7" s="2933"/>
      <c r="B7" s="2940" t="s">
        <v>523</v>
      </c>
      <c r="C7" s="517">
        <f>'数据-取费表'!B2</f>
        <v>43035</v>
      </c>
      <c r="D7" s="518">
        <v>100</v>
      </c>
      <c r="E7" s="519">
        <v>43009</v>
      </c>
      <c r="F7" s="520">
        <f>SUMIF(58:58,YEAR(E7)&amp;"-"&amp;MONTH(E7),59:59)</f>
        <v>100</v>
      </c>
      <c r="G7" s="521">
        <f>E7</f>
        <v>43009</v>
      </c>
      <c r="H7" s="518">
        <f>SUMIF(58:58,YEAR(G7)&amp;"-"&amp;MONTH(G7),59:59)</f>
        <v>100</v>
      </c>
      <c r="I7" s="521">
        <f>G7</f>
        <v>43009</v>
      </c>
      <c r="J7" s="518">
        <f>SUMIF(58:58,YEAR(I7)&amp;"-"&amp;MONTH(I7),59:59)</f>
        <v>100</v>
      </c>
      <c r="K7" s="851"/>
      <c r="L7" s="2130"/>
      <c r="M7" s="2131"/>
      <c r="N7" s="2131"/>
      <c r="O7" s="2131"/>
      <c r="P7" s="3455" t="s">
        <v>524</v>
      </c>
      <c r="Q7" s="3464"/>
      <c r="R7" s="1563" t="s">
        <v>13</v>
      </c>
      <c r="S7" s="1564">
        <f t="shared" ref="S7:S15" si="0">F7</f>
        <v>100</v>
      </c>
      <c r="T7" s="1563" t="s">
        <v>13</v>
      </c>
      <c r="U7" s="1564">
        <f t="shared" ref="U7:U15" si="1">H7</f>
        <v>100</v>
      </c>
      <c r="V7" s="1563" t="s">
        <v>13</v>
      </c>
      <c r="W7" s="1564">
        <f t="shared" ref="W7:W15" si="2">J7</f>
        <v>100</v>
      </c>
      <c r="X7" s="1565"/>
      <c r="Y7" s="3455" t="s">
        <v>524</v>
      </c>
      <c r="Z7" s="3456"/>
      <c r="AA7" s="1566">
        <f>D7/F7</f>
        <v>1</v>
      </c>
      <c r="AB7" s="1566">
        <f>D7/H7</f>
        <v>1</v>
      </c>
      <c r="AC7" s="1566">
        <f>D7/J7</f>
        <v>1</v>
      </c>
    </row>
    <row r="8" spans="1:29" s="1215" customFormat="1" ht="15.75" thickBot="1">
      <c r="A8" s="2934"/>
      <c r="B8" s="2941" t="s">
        <v>525</v>
      </c>
      <c r="C8" s="523" t="s">
        <v>570</v>
      </c>
      <c r="D8" s="518">
        <v>100</v>
      </c>
      <c r="E8" s="523" t="s">
        <v>570</v>
      </c>
      <c r="F8" s="520">
        <f>SUMIF(61:61,E8,62:62)-SUMIF(61:61,C8,62:62)+100</f>
        <v>100</v>
      </c>
      <c r="G8" s="523" t="s">
        <v>570</v>
      </c>
      <c r="H8" s="518">
        <f>SUMIF(61:61,G8,62:62)-SUMIF(61:61,C8,62:62)+100</f>
        <v>100</v>
      </c>
      <c r="I8" s="523" t="s">
        <v>570</v>
      </c>
      <c r="J8" s="518">
        <f>SUMIF(61:61,I8,62:62)-SUMIF(61:61,C8,62:62)+100</f>
        <v>100</v>
      </c>
      <c r="K8" s="851"/>
      <c r="L8" s="2130"/>
      <c r="M8" s="2131"/>
      <c r="N8" s="2131"/>
      <c r="O8" s="2131"/>
      <c r="P8" s="3455" t="s">
        <v>527</v>
      </c>
      <c r="Q8" s="3456"/>
      <c r="R8" s="1563" t="s">
        <v>13</v>
      </c>
      <c r="S8" s="1564">
        <f t="shared" si="0"/>
        <v>100</v>
      </c>
      <c r="T8" s="1563" t="s">
        <v>13</v>
      </c>
      <c r="U8" s="1564">
        <f t="shared" si="1"/>
        <v>100</v>
      </c>
      <c r="V8" s="1563" t="s">
        <v>13</v>
      </c>
      <c r="W8" s="1564">
        <f t="shared" si="2"/>
        <v>100</v>
      </c>
      <c r="X8" s="1565"/>
      <c r="Y8" s="3455" t="s">
        <v>527</v>
      </c>
      <c r="Z8" s="3456"/>
      <c r="AA8" s="1566">
        <f t="shared" ref="AA8:AA46" si="3">D8/F8</f>
        <v>1</v>
      </c>
      <c r="AB8" s="1566">
        <f t="shared" ref="AB8:AB46" si="4">D8/H8</f>
        <v>1</v>
      </c>
      <c r="AC8" s="1566">
        <f t="shared" ref="AC8:AC46" si="5">D8/J8</f>
        <v>1</v>
      </c>
    </row>
    <row r="9" spans="1:29" s="1215" customFormat="1" ht="15">
      <c r="A9" s="2935"/>
      <c r="B9" s="2942" t="s">
        <v>2755</v>
      </c>
      <c r="C9" s="3167" t="s">
        <v>3058</v>
      </c>
      <c r="D9" s="249">
        <v>100</v>
      </c>
      <c r="E9" s="3167" t="s">
        <v>3058</v>
      </c>
      <c r="F9" s="855">
        <f>SUMIF(63:63,E9,64:64)-SUMIF(63:63,C9,64:64)+100</f>
        <v>100</v>
      </c>
      <c r="G9" s="3167" t="s">
        <v>3058</v>
      </c>
      <c r="H9" s="249">
        <f>SUMIF(63:63,G9,64:64)-SUMIF(63:63,C9,64:64)+100</f>
        <v>100</v>
      </c>
      <c r="I9" s="3167" t="s">
        <v>3058</v>
      </c>
      <c r="J9" s="249">
        <f>SUMIF(63:63,I9,64:64)-SUMIF(63:63,C9,64:64)+100</f>
        <v>100</v>
      </c>
      <c r="K9" s="851"/>
      <c r="L9" s="2130"/>
      <c r="M9" s="2131"/>
      <c r="N9" s="2131"/>
      <c r="O9" s="2132"/>
      <c r="P9" s="3463" t="s">
        <v>529</v>
      </c>
      <c r="Q9" s="3178" t="str">
        <f t="shared" ref="Q9:Q15" si="6">B9</f>
        <v>用途</v>
      </c>
      <c r="R9" s="1563" t="s">
        <v>8</v>
      </c>
      <c r="S9" s="1564">
        <f t="shared" si="0"/>
        <v>100</v>
      </c>
      <c r="T9" s="1563" t="s">
        <v>8</v>
      </c>
      <c r="U9" s="1564">
        <f t="shared" si="1"/>
        <v>100</v>
      </c>
      <c r="V9" s="1563" t="s">
        <v>8</v>
      </c>
      <c r="W9" s="1564">
        <f t="shared" si="2"/>
        <v>100</v>
      </c>
      <c r="X9" s="1565"/>
      <c r="Y9" s="3420" t="s">
        <v>530</v>
      </c>
      <c r="Z9" s="3176" t="str">
        <f t="shared" ref="Z9:Z15" si="7">Q9</f>
        <v>用途</v>
      </c>
      <c r="AA9" s="1566">
        <f t="shared" si="3"/>
        <v>1</v>
      </c>
      <c r="AB9" s="1566">
        <f t="shared" si="4"/>
        <v>1</v>
      </c>
      <c r="AC9" s="1566">
        <f t="shared" si="5"/>
        <v>1</v>
      </c>
    </row>
    <row r="10" spans="1:29" s="1333" customFormat="1" ht="27">
      <c r="A10" s="2936"/>
      <c r="B10" s="2941" t="s">
        <v>2756</v>
      </c>
      <c r="C10" s="857" t="s">
        <v>3059</v>
      </c>
      <c r="D10" s="250">
        <v>100</v>
      </c>
      <c r="E10" s="857" t="s">
        <v>3059</v>
      </c>
      <c r="F10" s="859">
        <f>SUMIF(65:65,E10,66:66)-SUMIF(65:65,C10,66:66)+100</f>
        <v>100</v>
      </c>
      <c r="G10" s="857" t="s">
        <v>3059</v>
      </c>
      <c r="H10" s="250">
        <f>SUMIF(65:65,G10,66:66)-SUMIF(65:65,C10,66:66)+100</f>
        <v>100</v>
      </c>
      <c r="I10" s="857" t="s">
        <v>3059</v>
      </c>
      <c r="J10" s="250">
        <f>SUMIF(65:65,I10,66:66)-SUMIF(65:65,C10,66:66)+100</f>
        <v>100</v>
      </c>
      <c r="K10" s="860">
        <v>1</v>
      </c>
      <c r="L10" s="2133"/>
      <c r="M10" s="2173"/>
      <c r="N10" s="2173"/>
      <c r="O10" s="2134"/>
      <c r="P10" s="3463"/>
      <c r="Q10" s="3178" t="str">
        <f t="shared" si="6"/>
        <v>土地使用年限（年）</v>
      </c>
      <c r="R10" s="1563" t="s">
        <v>8</v>
      </c>
      <c r="S10" s="1564">
        <f t="shared" si="0"/>
        <v>100</v>
      </c>
      <c r="T10" s="1563" t="s">
        <v>8</v>
      </c>
      <c r="U10" s="1564">
        <f t="shared" si="1"/>
        <v>100</v>
      </c>
      <c r="V10" s="1563" t="s">
        <v>8</v>
      </c>
      <c r="W10" s="1564">
        <f t="shared" si="2"/>
        <v>100</v>
      </c>
      <c r="X10" s="1565"/>
      <c r="Y10" s="3420"/>
      <c r="Z10" s="3176" t="str">
        <f t="shared" si="7"/>
        <v>土地使用年限（年）</v>
      </c>
      <c r="AA10" s="1566">
        <f t="shared" si="3"/>
        <v>1</v>
      </c>
      <c r="AB10" s="1566">
        <f t="shared" si="4"/>
        <v>1</v>
      </c>
      <c r="AC10" s="1566">
        <f t="shared" si="5"/>
        <v>1</v>
      </c>
    </row>
    <row r="11" spans="1:29" ht="15">
      <c r="A11" s="2937"/>
      <c r="B11" s="2941" t="s">
        <v>2757</v>
      </c>
      <c r="C11" s="529">
        <f>'比较法-住宅、综合'!C13</f>
        <v>2.3199999999999998</v>
      </c>
      <c r="D11" s="250">
        <v>100</v>
      </c>
      <c r="E11" s="530">
        <v>2</v>
      </c>
      <c r="F11" s="859">
        <f>LOOKUP(E11,68:68,69:69)-LOOKUP(C11,68:68,69:69)+100</f>
        <v>100</v>
      </c>
      <c r="G11" s="529">
        <v>4.57</v>
      </c>
      <c r="H11" s="250">
        <f>LOOKUP(G11,68:68,69:69)-LOOKUP(C11,68:68,69:69)+100</f>
        <v>98</v>
      </c>
      <c r="I11" s="529">
        <v>1</v>
      </c>
      <c r="J11" s="250">
        <f>LOOKUP(I11,68:68,69:69)-LOOKUP(C11,68:68,69:69)+100</f>
        <v>101</v>
      </c>
      <c r="K11" s="860">
        <v>1</v>
      </c>
      <c r="L11" s="2135"/>
      <c r="M11" s="2129"/>
      <c r="N11" s="2129"/>
      <c r="O11" s="2136"/>
      <c r="P11" s="3463"/>
      <c r="Q11" s="3178" t="str">
        <f t="shared" si="6"/>
        <v>容积率</v>
      </c>
      <c r="R11" s="1563" t="s">
        <v>11</v>
      </c>
      <c r="S11" s="1564">
        <f t="shared" si="0"/>
        <v>100</v>
      </c>
      <c r="T11" s="1563" t="s">
        <v>11</v>
      </c>
      <c r="U11" s="1564">
        <f t="shared" si="1"/>
        <v>98</v>
      </c>
      <c r="V11" s="1563" t="s">
        <v>11</v>
      </c>
      <c r="W11" s="1564">
        <f t="shared" si="2"/>
        <v>101</v>
      </c>
      <c r="X11" s="1565"/>
      <c r="Y11" s="3420"/>
      <c r="Z11" s="3176" t="str">
        <f t="shared" si="7"/>
        <v>容积率</v>
      </c>
      <c r="AA11" s="1566">
        <f t="shared" si="3"/>
        <v>1</v>
      </c>
      <c r="AB11" s="1566">
        <f t="shared" si="4"/>
        <v>1.0204081632653061</v>
      </c>
      <c r="AC11" s="1566">
        <f t="shared" si="5"/>
        <v>0.99009900990099009</v>
      </c>
    </row>
    <row r="12" spans="1:29" s="1215" customFormat="1" ht="15">
      <c r="A12" s="2938"/>
      <c r="B12" s="2944">
        <v>111</v>
      </c>
      <c r="C12" s="526"/>
      <c r="D12" s="534">
        <v>100</v>
      </c>
      <c r="E12" s="526"/>
      <c r="F12" s="859">
        <f>SUMIF(70:70,E12,71:71)-SUMIF(70:70,C12,71:71)+100</f>
        <v>100</v>
      </c>
      <c r="G12" s="526"/>
      <c r="H12" s="250">
        <f>SUMIF(70:70,G12,71:71)-SUMIF(70:70,C12,71:71)+100</f>
        <v>100</v>
      </c>
      <c r="I12" s="526"/>
      <c r="J12" s="250">
        <f>SUMIF(70:70,I12,71:71)-SUMIF(70:70,C12,71:71)+100</f>
        <v>100</v>
      </c>
      <c r="K12" s="861"/>
      <c r="L12" s="2130"/>
      <c r="M12" s="2131"/>
      <c r="N12" s="2131"/>
      <c r="O12" s="2132"/>
      <c r="P12" s="3463"/>
      <c r="Q12" s="3178">
        <f t="shared" si="6"/>
        <v>111</v>
      </c>
      <c r="R12" s="1563" t="s">
        <v>11</v>
      </c>
      <c r="S12" s="1564">
        <f t="shared" si="0"/>
        <v>100</v>
      </c>
      <c r="T12" s="1563" t="s">
        <v>11</v>
      </c>
      <c r="U12" s="1564">
        <f t="shared" si="1"/>
        <v>100</v>
      </c>
      <c r="V12" s="1563" t="s">
        <v>11</v>
      </c>
      <c r="W12" s="1564">
        <f t="shared" si="2"/>
        <v>100</v>
      </c>
      <c r="X12" s="1565"/>
      <c r="Y12" s="3420"/>
      <c r="Z12" s="3176">
        <f t="shared" si="7"/>
        <v>111</v>
      </c>
      <c r="AA12" s="1566">
        <f>D12/F12</f>
        <v>1</v>
      </c>
      <c r="AB12" s="1566">
        <f>D12/H12</f>
        <v>1</v>
      </c>
      <c r="AC12" s="1566">
        <f>D12/J12</f>
        <v>1</v>
      </c>
    </row>
    <row r="13" spans="1:29" ht="15">
      <c r="A13" s="2938"/>
      <c r="B13" s="2944">
        <v>111</v>
      </c>
      <c r="C13" s="535"/>
      <c r="D13" s="536">
        <v>100</v>
      </c>
      <c r="E13" s="535"/>
      <c r="F13" s="859">
        <f>SUMIF(72:72,E13,73:73)-SUMIF(72:72,C13,73:73)+100</f>
        <v>100</v>
      </c>
      <c r="G13" s="535"/>
      <c r="H13" s="536">
        <f>SUMIF(72:72,G13,73:73)-SUMIF(72:72,C13,73:73)+100</f>
        <v>100</v>
      </c>
      <c r="I13" s="535"/>
      <c r="J13" s="536">
        <f>SUMIF(72:72,I13,73:73)-SUMIF(72:72,C13,73:73)+100</f>
        <v>100</v>
      </c>
      <c r="K13" s="861"/>
      <c r="L13" s="2137"/>
      <c r="M13" s="2129"/>
      <c r="N13" s="2129"/>
      <c r="O13" s="2136"/>
      <c r="P13" s="3463"/>
      <c r="Q13" s="3178">
        <f t="shared" si="6"/>
        <v>111</v>
      </c>
      <c r="R13" s="1563" t="s">
        <v>11</v>
      </c>
      <c r="S13" s="1564">
        <f t="shared" si="0"/>
        <v>100</v>
      </c>
      <c r="T13" s="1563" t="s">
        <v>11</v>
      </c>
      <c r="U13" s="1564">
        <f t="shared" si="1"/>
        <v>100</v>
      </c>
      <c r="V13" s="1563" t="s">
        <v>11</v>
      </c>
      <c r="W13" s="1564">
        <f t="shared" si="2"/>
        <v>100</v>
      </c>
      <c r="X13" s="1565"/>
      <c r="Y13" s="3420"/>
      <c r="Z13" s="3176">
        <f t="shared" si="7"/>
        <v>111</v>
      </c>
      <c r="AA13" s="1566">
        <f t="shared" si="3"/>
        <v>1</v>
      </c>
      <c r="AB13" s="1566">
        <f t="shared" si="4"/>
        <v>1</v>
      </c>
      <c r="AC13" s="1566">
        <f t="shared" si="5"/>
        <v>1</v>
      </c>
    </row>
    <row r="14" spans="1:29" ht="15.75" thickBot="1">
      <c r="A14" s="2939"/>
      <c r="B14" s="2945">
        <v>111</v>
      </c>
      <c r="C14" s="541"/>
      <c r="D14" s="542">
        <v>100</v>
      </c>
      <c r="E14" s="541"/>
      <c r="F14" s="862">
        <f>SUMIF(74:74,E14,75:75)-SUMIF(74:74,C14,75:75)+100</f>
        <v>100</v>
      </c>
      <c r="G14" s="541"/>
      <c r="H14" s="542">
        <f>SUMIF(74:74,G14,75:75)-SUMIF(74:74,C14,75:75)+100</f>
        <v>100</v>
      </c>
      <c r="I14" s="541"/>
      <c r="J14" s="542">
        <f>SUMIF(74:74,I14,75:75)-SUMIF(74:74,C14,75:75)+100</f>
        <v>100</v>
      </c>
      <c r="K14" s="861"/>
      <c r="L14" s="2137"/>
      <c r="M14" s="2129"/>
      <c r="N14" s="2129"/>
      <c r="O14" s="2136"/>
      <c r="P14" s="3463"/>
      <c r="Q14" s="3178">
        <f t="shared" si="6"/>
        <v>111</v>
      </c>
      <c r="R14" s="1563" t="s">
        <v>11</v>
      </c>
      <c r="S14" s="1564">
        <f t="shared" si="0"/>
        <v>100</v>
      </c>
      <c r="T14" s="1563" t="s">
        <v>11</v>
      </c>
      <c r="U14" s="1564">
        <f t="shared" si="1"/>
        <v>100</v>
      </c>
      <c r="V14" s="1563" t="s">
        <v>11</v>
      </c>
      <c r="W14" s="1564">
        <f t="shared" si="2"/>
        <v>100</v>
      </c>
      <c r="X14" s="1565"/>
      <c r="Y14" s="3420"/>
      <c r="Z14" s="3176">
        <f t="shared" si="7"/>
        <v>111</v>
      </c>
      <c r="AA14" s="1566">
        <f t="shared" si="3"/>
        <v>1</v>
      </c>
      <c r="AB14" s="1566">
        <f t="shared" si="4"/>
        <v>1</v>
      </c>
      <c r="AC14" s="1566">
        <f t="shared" si="5"/>
        <v>1</v>
      </c>
    </row>
    <row r="15" spans="1:29" ht="99.75">
      <c r="A15" s="2931" t="s">
        <v>2753</v>
      </c>
      <c r="B15" s="165" t="s">
        <v>288</v>
      </c>
      <c r="C15" s="863" t="str">
        <f>估价对象房地状况!C3</f>
        <v>估价对象周边居住用地比例较高、居住小区规模和社区发展完善程度较好，有丰盛园、长城公寓、天津公馆等项目，综合评价居住社区成熟度较好</v>
      </c>
      <c r="D15" s="545">
        <v>100</v>
      </c>
      <c r="E15" s="3164" t="s">
        <v>3229</v>
      </c>
      <c r="F15" s="547">
        <f>SUMIF(76:76,E16,77:77)-SUMIF(76:76,C16,77:77)+100</f>
        <v>100</v>
      </c>
      <c r="G15" s="3164" t="s">
        <v>3227</v>
      </c>
      <c r="H15" s="545">
        <f>SUMIF(76:76,G16,77:77)-SUMIF(76:76,C16,77:77)+100</f>
        <v>100</v>
      </c>
      <c r="I15" s="3164" t="s">
        <v>3224</v>
      </c>
      <c r="J15" s="545">
        <f>SUMIF(76:76,I16,77:77)-SUMIF(76:76,C16,77:77)+100</f>
        <v>100</v>
      </c>
      <c r="K15" s="864">
        <f>'比较法-住宅、综合'!K17</f>
        <v>5</v>
      </c>
      <c r="L15" s="2137"/>
      <c r="M15" s="2129"/>
      <c r="N15" s="2129"/>
      <c r="O15" s="2136"/>
      <c r="P15" s="3465" t="s">
        <v>534</v>
      </c>
      <c r="Q15" s="3184" t="str">
        <f t="shared" si="6"/>
        <v>居住社区成熟度</v>
      </c>
      <c r="R15" s="1568" t="s">
        <v>11</v>
      </c>
      <c r="S15" s="1569">
        <f t="shared" si="0"/>
        <v>100</v>
      </c>
      <c r="T15" s="1568" t="s">
        <v>11</v>
      </c>
      <c r="U15" s="1569">
        <f t="shared" si="1"/>
        <v>100</v>
      </c>
      <c r="V15" s="1568" t="s">
        <v>11</v>
      </c>
      <c r="W15" s="1569">
        <f t="shared" si="2"/>
        <v>100</v>
      </c>
      <c r="X15" s="3183"/>
      <c r="Y15" s="3465" t="s">
        <v>534</v>
      </c>
      <c r="Z15" s="3185" t="str">
        <f t="shared" si="7"/>
        <v>居住社区成熟度</v>
      </c>
      <c r="AA15" s="3186">
        <f t="shared" si="3"/>
        <v>1</v>
      </c>
      <c r="AB15" s="3186">
        <f t="shared" si="4"/>
        <v>1</v>
      </c>
      <c r="AC15" s="3186">
        <f t="shared" si="5"/>
        <v>1</v>
      </c>
    </row>
    <row r="16" spans="1:29" ht="15">
      <c r="A16" s="528"/>
      <c r="B16" s="865"/>
      <c r="C16" s="572" t="s">
        <v>3040</v>
      </c>
      <c r="D16" s="551"/>
      <c r="E16" s="552" t="s">
        <v>3040</v>
      </c>
      <c r="F16" s="553"/>
      <c r="G16" s="554" t="s">
        <v>3040</v>
      </c>
      <c r="H16" s="555"/>
      <c r="I16" s="552" t="s">
        <v>3040</v>
      </c>
      <c r="J16" s="551"/>
      <c r="K16" s="866"/>
      <c r="L16" s="2137"/>
      <c r="M16" s="2129"/>
      <c r="N16" s="2129"/>
      <c r="O16" s="2136"/>
      <c r="P16" s="3466"/>
      <c r="Q16" s="3184"/>
      <c r="R16" s="1568"/>
      <c r="S16" s="1569"/>
      <c r="T16" s="1568"/>
      <c r="U16" s="1569"/>
      <c r="V16" s="1568"/>
      <c r="W16" s="1569"/>
      <c r="X16" s="3183"/>
      <c r="Y16" s="3466"/>
      <c r="Z16" s="3185"/>
      <c r="AA16" s="3186">
        <v>1</v>
      </c>
      <c r="AB16" s="3186">
        <v>1</v>
      </c>
      <c r="AC16" s="3186">
        <v>1</v>
      </c>
    </row>
    <row r="17" spans="1:29" ht="111.75" customHeight="1">
      <c r="A17" s="528"/>
      <c r="B17" s="867" t="s">
        <v>289</v>
      </c>
      <c r="C17" s="868" t="str">
        <f>估价对象房地状况!C6</f>
        <v>估价对象周边1公里有92、840路等公交车及地铁1、9号线经过，公共交通通达情况较好、停车便捷程度较好，综合评价交通便捷度较好</v>
      </c>
      <c r="D17" s="555">
        <v>100</v>
      </c>
      <c r="E17" s="560" t="s">
        <v>3232</v>
      </c>
      <c r="F17" s="559">
        <f>SUMIF(78:78,E18,79:79)-SUMIF(78:78,C18,79:79)+100</f>
        <v>100</v>
      </c>
      <c r="G17" s="560" t="s">
        <v>3226</v>
      </c>
      <c r="H17" s="561">
        <f>SUMIF(78:78,G18,79:79)-SUMIF(78:78,C18,79:79)+100</f>
        <v>100</v>
      </c>
      <c r="I17" s="560" t="s">
        <v>3230</v>
      </c>
      <c r="J17" s="561">
        <f>SUMIF(78:78,I18,79:79)-SUMIF(78:78,C18,79:79)+100</f>
        <v>102</v>
      </c>
      <c r="K17" s="864">
        <f>'比较法-住宅、综合'!K23</f>
        <v>2</v>
      </c>
      <c r="L17" s="2137"/>
      <c r="M17" s="2129"/>
      <c r="N17" s="2129"/>
      <c r="O17" s="2136"/>
      <c r="P17" s="3466"/>
      <c r="Q17" s="3184" t="str">
        <f>B17</f>
        <v>交通便捷度</v>
      </c>
      <c r="R17" s="1568" t="s">
        <v>11</v>
      </c>
      <c r="S17" s="1569">
        <f>F17</f>
        <v>100</v>
      </c>
      <c r="T17" s="1568" t="s">
        <v>11</v>
      </c>
      <c r="U17" s="1569">
        <f>H17</f>
        <v>100</v>
      </c>
      <c r="V17" s="1568" t="s">
        <v>11</v>
      </c>
      <c r="W17" s="1569">
        <f>J17</f>
        <v>102</v>
      </c>
      <c r="X17" s="3183"/>
      <c r="Y17" s="3466"/>
      <c r="Z17" s="3185" t="str">
        <f>Q17</f>
        <v>交通便捷度</v>
      </c>
      <c r="AA17" s="3186">
        <f t="shared" si="3"/>
        <v>1</v>
      </c>
      <c r="AB17" s="3186">
        <f t="shared" si="4"/>
        <v>1</v>
      </c>
      <c r="AC17" s="3186">
        <f t="shared" si="5"/>
        <v>0.98039215686274506</v>
      </c>
    </row>
    <row r="18" spans="1:29" ht="15">
      <c r="A18" s="528"/>
      <c r="B18" s="591"/>
      <c r="C18" s="869" t="s">
        <v>3040</v>
      </c>
      <c r="D18" s="555"/>
      <c r="E18" s="564" t="s">
        <v>3040</v>
      </c>
      <c r="F18" s="559"/>
      <c r="G18" s="565" t="s">
        <v>3040</v>
      </c>
      <c r="H18" s="551"/>
      <c r="I18" s="564" t="s">
        <v>3231</v>
      </c>
      <c r="J18" s="551"/>
      <c r="K18" s="866"/>
      <c r="L18" s="2137"/>
      <c r="M18" s="2129"/>
      <c r="N18" s="2129"/>
      <c r="O18" s="2136"/>
      <c r="P18" s="3466"/>
      <c r="Q18" s="3184"/>
      <c r="R18" s="1568"/>
      <c r="S18" s="1569"/>
      <c r="T18" s="1568"/>
      <c r="U18" s="1569"/>
      <c r="V18" s="1568"/>
      <c r="W18" s="1569"/>
      <c r="X18" s="3183"/>
      <c r="Y18" s="3466"/>
      <c r="Z18" s="3185"/>
      <c r="AA18" s="3186">
        <v>1</v>
      </c>
      <c r="AB18" s="3186">
        <v>1</v>
      </c>
      <c r="AC18" s="3186">
        <v>1</v>
      </c>
    </row>
    <row r="19" spans="1:29" ht="42.75">
      <c r="A19" s="528"/>
      <c r="B19" s="2619" t="s">
        <v>2543</v>
      </c>
      <c r="C19" s="868" t="str">
        <f>估价对象房地状况!C7</f>
        <v>估价对象所在区域公共配套设施齐备情况一般</v>
      </c>
      <c r="D19" s="561">
        <v>100</v>
      </c>
      <c r="E19" s="566" t="s">
        <v>3034</v>
      </c>
      <c r="F19" s="567">
        <f>SUMIF(80:80,E20,81:81)-SUMIF(80:80,C20,81:81)+100</f>
        <v>100</v>
      </c>
      <c r="G19" s="3165" t="s">
        <v>3045</v>
      </c>
      <c r="H19" s="555">
        <f>SUMIF(80:80,G20,81:81)-SUMIF(80:80,C20,81:81)+100</f>
        <v>102</v>
      </c>
      <c r="I19" s="3165" t="s">
        <v>3045</v>
      </c>
      <c r="J19" s="555">
        <f>SUMIF(80:80,I20,81:81)-SUMIF(80:80,C20,81:81)+100</f>
        <v>102</v>
      </c>
      <c r="K19" s="864">
        <f>'比较法-住宅、综合'!K23</f>
        <v>2</v>
      </c>
      <c r="L19" s="2137"/>
      <c r="M19" s="2129"/>
      <c r="N19" s="2129"/>
      <c r="O19" s="2136"/>
      <c r="P19" s="3466"/>
      <c r="Q19" s="3184" t="str">
        <f>B19</f>
        <v>公共配套设施</v>
      </c>
      <c r="R19" s="1568" t="s">
        <v>11</v>
      </c>
      <c r="S19" s="1569">
        <f>F19</f>
        <v>100</v>
      </c>
      <c r="T19" s="1568" t="s">
        <v>11</v>
      </c>
      <c r="U19" s="1569">
        <f>H19</f>
        <v>102</v>
      </c>
      <c r="V19" s="1568" t="s">
        <v>11</v>
      </c>
      <c r="W19" s="1569">
        <f>J19</f>
        <v>102</v>
      </c>
      <c r="X19" s="3183"/>
      <c r="Y19" s="3466"/>
      <c r="Z19" s="3185" t="str">
        <f>Q19</f>
        <v>公共配套设施</v>
      </c>
      <c r="AA19" s="3186">
        <f t="shared" si="3"/>
        <v>1</v>
      </c>
      <c r="AB19" s="3186">
        <f t="shared" si="4"/>
        <v>0.98039215686274506</v>
      </c>
      <c r="AC19" s="3186">
        <f t="shared" si="5"/>
        <v>0.98039215686274506</v>
      </c>
    </row>
    <row r="20" spans="1:29" ht="15">
      <c r="A20" s="528"/>
      <c r="B20" s="591"/>
      <c r="C20" s="572" t="s">
        <v>3039</v>
      </c>
      <c r="D20" s="551"/>
      <c r="E20" s="572" t="s">
        <v>3039</v>
      </c>
      <c r="F20" s="553"/>
      <c r="G20" s="572" t="s">
        <v>3040</v>
      </c>
      <c r="H20" s="551"/>
      <c r="I20" s="552" t="s">
        <v>3040</v>
      </c>
      <c r="J20" s="551"/>
      <c r="K20" s="866"/>
      <c r="L20" s="2137"/>
      <c r="M20" s="2129"/>
      <c r="N20" s="2129"/>
      <c r="O20" s="2136"/>
      <c r="P20" s="3466"/>
      <c r="Q20" s="3184"/>
      <c r="R20" s="1568"/>
      <c r="S20" s="1569"/>
      <c r="T20" s="1568"/>
      <c r="U20" s="1569"/>
      <c r="V20" s="1568"/>
      <c r="W20" s="1569"/>
      <c r="X20" s="3183"/>
      <c r="Y20" s="3466"/>
      <c r="Z20" s="3185"/>
      <c r="AA20" s="3186">
        <v>1</v>
      </c>
      <c r="AB20" s="3186">
        <v>1</v>
      </c>
      <c r="AC20" s="3186">
        <v>1</v>
      </c>
    </row>
    <row r="21" spans="1:29" ht="28.5">
      <c r="A21" s="528"/>
      <c r="B21" s="2612" t="s">
        <v>2555</v>
      </c>
      <c r="C21" s="868" t="str">
        <f>估价对象房地状况!C8</f>
        <v>估价对象所在区域基础设施水平-六通</v>
      </c>
      <c r="D21" s="561">
        <v>100</v>
      </c>
      <c r="E21" s="568"/>
      <c r="F21" s="567">
        <f>SUMIF(82:82,E22,83:83)-SUMIF(82:82,C22,83:83)+100</f>
        <v>100</v>
      </c>
      <c r="G21" s="568"/>
      <c r="H21" s="561">
        <f>SUMIF(82:82,G22,83:83)-SUMIF(82:82,C22,83:83)+100</f>
        <v>100</v>
      </c>
      <c r="I21" s="566"/>
      <c r="J21" s="561">
        <f>SUMIF(82:82,I22,83:83)-SUMIF(82:82,C22,83:83)+100</f>
        <v>100</v>
      </c>
      <c r="K21" s="864">
        <f>'比较法-住宅、综合'!K31</f>
        <v>1</v>
      </c>
      <c r="L21" s="2137"/>
      <c r="M21" s="2129"/>
      <c r="N21" s="2129"/>
      <c r="O21" s="2136"/>
      <c r="P21" s="3466"/>
      <c r="Q21" s="3184" t="str">
        <f>B21</f>
        <v>基础设施水平</v>
      </c>
      <c r="R21" s="1568" t="s">
        <v>11</v>
      </c>
      <c r="S21" s="1569">
        <f>F21</f>
        <v>100</v>
      </c>
      <c r="T21" s="1568" t="s">
        <v>11</v>
      </c>
      <c r="U21" s="1569">
        <f>H21</f>
        <v>100</v>
      </c>
      <c r="V21" s="1568" t="s">
        <v>11</v>
      </c>
      <c r="W21" s="1569">
        <f>J21</f>
        <v>100</v>
      </c>
      <c r="X21" s="3183"/>
      <c r="Y21" s="3466"/>
      <c r="Z21" s="3185" t="str">
        <f>Q21</f>
        <v>基础设施水平</v>
      </c>
      <c r="AA21" s="3186">
        <f t="shared" ref="AA21" si="8">D21/F21</f>
        <v>1</v>
      </c>
      <c r="AB21" s="3186">
        <f t="shared" ref="AB21" si="9">D21/H21</f>
        <v>1</v>
      </c>
      <c r="AC21" s="3186">
        <f t="shared" ref="AC21" si="10">D21/J21</f>
        <v>1</v>
      </c>
    </row>
    <row r="22" spans="1:29" ht="15">
      <c r="A22" s="528"/>
      <c r="B22" s="917"/>
      <c r="C22" s="869" t="s">
        <v>3211</v>
      </c>
      <c r="D22" s="551"/>
      <c r="E22" s="869" t="s">
        <v>3211</v>
      </c>
      <c r="F22" s="553"/>
      <c r="G22" s="869" t="s">
        <v>3211</v>
      </c>
      <c r="H22" s="551"/>
      <c r="I22" s="869" t="s">
        <v>3211</v>
      </c>
      <c r="J22" s="551"/>
      <c r="K22" s="2618"/>
      <c r="L22" s="2137"/>
      <c r="M22" s="2129"/>
      <c r="N22" s="2129"/>
      <c r="O22" s="2136"/>
      <c r="P22" s="3466"/>
      <c r="Q22" s="3184"/>
      <c r="R22" s="1568"/>
      <c r="S22" s="1569"/>
      <c r="T22" s="1568"/>
      <c r="U22" s="1569"/>
      <c r="V22" s="1568"/>
      <c r="W22" s="1569"/>
      <c r="X22" s="3183"/>
      <c r="Y22" s="3466"/>
      <c r="Z22" s="3185"/>
      <c r="AA22" s="3186">
        <v>1</v>
      </c>
      <c r="AB22" s="3186">
        <v>1</v>
      </c>
      <c r="AC22" s="3186">
        <v>1</v>
      </c>
    </row>
    <row r="23" spans="1:29" ht="28.5">
      <c r="A23" s="528"/>
      <c r="B23" s="867" t="s">
        <v>290</v>
      </c>
      <c r="C23" s="868" t="str">
        <f>估价对象房地状况!C9</f>
        <v>周边2公里内区域自然环境较好</v>
      </c>
      <c r="D23" s="555">
        <v>100</v>
      </c>
      <c r="E23" s="558" t="s">
        <v>3043</v>
      </c>
      <c r="F23" s="559">
        <f>SUMIF(84:84,E24,85:85)-SUMIF(84:84,C24,85:85)+100</f>
        <v>98</v>
      </c>
      <c r="G23" s="558" t="s">
        <v>3043</v>
      </c>
      <c r="H23" s="555">
        <f>SUMIF(84:84,G24,85:85)-SUMIF(84:84,C24,85:85)+100</f>
        <v>98</v>
      </c>
      <c r="I23" s="560" t="s">
        <v>3044</v>
      </c>
      <c r="J23" s="555">
        <f>SUMIF(84:84,I24,85:85)-SUMIF(84:84,C24,85:85)+100</f>
        <v>100</v>
      </c>
      <c r="K23" s="864">
        <f>'比较法-住宅、综合'!K27</f>
        <v>2</v>
      </c>
      <c r="L23" s="2137"/>
      <c r="M23" s="2129"/>
      <c r="N23" s="2129"/>
      <c r="O23" s="2136"/>
      <c r="P23" s="3466"/>
      <c r="Q23" s="3184" t="str">
        <f>B23</f>
        <v>自然及人文环境</v>
      </c>
      <c r="R23" s="1568" t="s">
        <v>11</v>
      </c>
      <c r="S23" s="1569">
        <f>F23</f>
        <v>98</v>
      </c>
      <c r="T23" s="1568" t="s">
        <v>11</v>
      </c>
      <c r="U23" s="1569">
        <f>H23</f>
        <v>98</v>
      </c>
      <c r="V23" s="1568" t="s">
        <v>11</v>
      </c>
      <c r="W23" s="1569">
        <f>J23</f>
        <v>100</v>
      </c>
      <c r="X23" s="3183"/>
      <c r="Y23" s="3466"/>
      <c r="Z23" s="3185" t="str">
        <f>Q23</f>
        <v>自然及人文环境</v>
      </c>
      <c r="AA23" s="3186">
        <f t="shared" si="3"/>
        <v>1.0204081632653061</v>
      </c>
      <c r="AB23" s="3186">
        <f t="shared" si="4"/>
        <v>1.0204081632653061</v>
      </c>
      <c r="AC23" s="3186">
        <f t="shared" si="5"/>
        <v>1</v>
      </c>
    </row>
    <row r="24" spans="1:29" ht="15">
      <c r="A24" s="528"/>
      <c r="B24" s="591"/>
      <c r="C24" s="572" t="s">
        <v>3040</v>
      </c>
      <c r="D24" s="551"/>
      <c r="E24" s="572" t="s">
        <v>3039</v>
      </c>
      <c r="F24" s="553"/>
      <c r="G24" s="552" t="s">
        <v>3039</v>
      </c>
      <c r="H24" s="551"/>
      <c r="I24" s="552" t="s">
        <v>3040</v>
      </c>
      <c r="J24" s="551"/>
      <c r="K24" s="866"/>
      <c r="L24" s="2137"/>
      <c r="M24" s="2129"/>
      <c r="N24" s="2129"/>
      <c r="O24" s="2136"/>
      <c r="P24" s="3466"/>
      <c r="Q24" s="3184"/>
      <c r="R24" s="1568"/>
      <c r="S24" s="1569"/>
      <c r="T24" s="1568"/>
      <c r="U24" s="1569"/>
      <c r="V24" s="1568"/>
      <c r="W24" s="1569"/>
      <c r="X24" s="3183"/>
      <c r="Y24" s="3466"/>
      <c r="Z24" s="3185"/>
      <c r="AA24" s="3186">
        <v>1</v>
      </c>
      <c r="AB24" s="3186">
        <v>1</v>
      </c>
      <c r="AC24" s="3186">
        <v>1</v>
      </c>
    </row>
    <row r="25" spans="1:29" ht="15">
      <c r="A25" s="528"/>
      <c r="B25" s="1890" t="s">
        <v>2251</v>
      </c>
      <c r="C25" s="570"/>
      <c r="D25" s="536">
        <v>100</v>
      </c>
      <c r="E25" s="870"/>
      <c r="F25" s="571">
        <f>SUMIF(86:86,E25,87:87)-SUMIF(86:86,C25,87:87)+100</f>
        <v>100</v>
      </c>
      <c r="G25" s="595"/>
      <c r="H25" s="536">
        <f>SUMIF(86:86,G25,87:87)-SUMIF(86:86,C25,87:87)+100</f>
        <v>100</v>
      </c>
      <c r="I25" s="870"/>
      <c r="J25" s="536">
        <f>SUMIF(86:86,I25,87:87)-SUMIF(86:86,C25,87:87)+100</f>
        <v>100</v>
      </c>
      <c r="K25" s="860"/>
      <c r="L25" s="2137"/>
      <c r="M25" s="2129"/>
      <c r="N25" s="2129"/>
      <c r="O25" s="2136"/>
      <c r="P25" s="3466"/>
      <c r="Q25" s="3184" t="str">
        <f t="shared" ref="Q25:Q46" si="11">B25</f>
        <v>楼层-1</v>
      </c>
      <c r="R25" s="1568" t="s">
        <v>11</v>
      </c>
      <c r="S25" s="1569">
        <f>F25</f>
        <v>100</v>
      </c>
      <c r="T25" s="1568" t="s">
        <v>11</v>
      </c>
      <c r="U25" s="1569">
        <f>H25</f>
        <v>100</v>
      </c>
      <c r="V25" s="1568" t="s">
        <v>11</v>
      </c>
      <c r="W25" s="1569">
        <f>J25</f>
        <v>100</v>
      </c>
      <c r="X25" s="3183"/>
      <c r="Y25" s="3466"/>
      <c r="Z25" s="3185" t="str">
        <f>Q25</f>
        <v>楼层-1</v>
      </c>
      <c r="AA25" s="3186">
        <f t="shared" si="3"/>
        <v>1</v>
      </c>
      <c r="AB25" s="3186">
        <f t="shared" si="4"/>
        <v>1</v>
      </c>
      <c r="AC25" s="3186">
        <f t="shared" si="5"/>
        <v>1</v>
      </c>
    </row>
    <row r="26" spans="1:29" ht="15">
      <c r="A26" s="528"/>
      <c r="B26" s="525" t="s">
        <v>717</v>
      </c>
      <c r="C26" s="570"/>
      <c r="D26" s="536">
        <v>100</v>
      </c>
      <c r="E26" s="870"/>
      <c r="F26" s="571">
        <f>SUMIF(88:88,E26,89:89)-SUMIF(88:88,C26,89:89)+100</f>
        <v>100</v>
      </c>
      <c r="G26" s="595"/>
      <c r="H26" s="536">
        <f>SUMIF(88:88,G26,89:89)-SUMIF(88:88,C26,89:89)+100</f>
        <v>100</v>
      </c>
      <c r="I26" s="870"/>
      <c r="J26" s="536">
        <f>SUMIF(88:88,I26,89:89)-SUMIF(88:88,C26,89:89)+100</f>
        <v>100</v>
      </c>
      <c r="K26" s="860"/>
      <c r="L26" s="2137"/>
      <c r="M26" s="2129"/>
      <c r="N26" s="2129"/>
      <c r="O26" s="2136"/>
      <c r="P26" s="3466"/>
      <c r="Q26" s="3184" t="str">
        <f t="shared" si="11"/>
        <v>朝向</v>
      </c>
      <c r="R26" s="1568" t="s">
        <v>11</v>
      </c>
      <c r="S26" s="1569">
        <f>F26</f>
        <v>100</v>
      </c>
      <c r="T26" s="1568" t="s">
        <v>11</v>
      </c>
      <c r="U26" s="1569">
        <f>H26</f>
        <v>100</v>
      </c>
      <c r="V26" s="1568" t="s">
        <v>11</v>
      </c>
      <c r="W26" s="1569">
        <f>J26</f>
        <v>100</v>
      </c>
      <c r="X26" s="3183"/>
      <c r="Y26" s="3466"/>
      <c r="Z26" s="3185" t="str">
        <f>Q26</f>
        <v>朝向</v>
      </c>
      <c r="AA26" s="3186">
        <f t="shared" si="3"/>
        <v>1</v>
      </c>
      <c r="AB26" s="3186">
        <f t="shared" si="4"/>
        <v>1</v>
      </c>
      <c r="AC26" s="3186">
        <f t="shared" si="5"/>
        <v>1</v>
      </c>
    </row>
    <row r="27" spans="1:29" s="1215" customFormat="1" ht="15">
      <c r="A27" s="532"/>
      <c r="B27" s="533" t="s">
        <v>718</v>
      </c>
      <c r="C27" s="526" t="str">
        <f>'比较法-住宅、综合'!C35</f>
        <v>次干道</v>
      </c>
      <c r="D27" s="871">
        <v>100</v>
      </c>
      <c r="E27" s="3168" t="s">
        <v>3072</v>
      </c>
      <c r="F27" s="872">
        <f>SUMIF(90:90,E27,91:91)-SUMIF(90:90,C27,91:91)+100</f>
        <v>100</v>
      </c>
      <c r="G27" s="3168" t="s">
        <v>3072</v>
      </c>
      <c r="H27" s="871">
        <f>SUMIF(90:90,G27,91:91)-SUMIF(90:90,C27,91:91)+100</f>
        <v>100</v>
      </c>
      <c r="I27" s="526" t="str">
        <f>'比较法-住宅、综合'!I35</f>
        <v>主干道</v>
      </c>
      <c r="J27" s="871">
        <f>SUMIF(90:90,I27,91:91)-SUMIF(90:90,C27,91:91)+100</f>
        <v>101</v>
      </c>
      <c r="K27" s="861"/>
      <c r="L27" s="2130"/>
      <c r="M27" s="2131"/>
      <c r="N27" s="2131"/>
      <c r="O27" s="2132"/>
      <c r="P27" s="3466"/>
      <c r="Q27" s="3178" t="str">
        <f t="shared" si="11"/>
        <v>道路级别</v>
      </c>
      <c r="R27" s="1563" t="s">
        <v>11</v>
      </c>
      <c r="S27" s="1564">
        <f>F27</f>
        <v>100</v>
      </c>
      <c r="T27" s="1563" t="s">
        <v>11</v>
      </c>
      <c r="U27" s="1564">
        <f>H27</f>
        <v>100</v>
      </c>
      <c r="V27" s="1563" t="s">
        <v>11</v>
      </c>
      <c r="W27" s="1564">
        <f>J27</f>
        <v>101</v>
      </c>
      <c r="X27" s="1565"/>
      <c r="Y27" s="3466"/>
      <c r="Z27" s="3176" t="str">
        <f>Q27</f>
        <v>道路级别</v>
      </c>
      <c r="AA27" s="3186">
        <f>D27/F27</f>
        <v>1</v>
      </c>
      <c r="AB27" s="3186">
        <f>D27/H27</f>
        <v>1</v>
      </c>
      <c r="AC27" s="3186">
        <f>D27/J27</f>
        <v>0.99009900990099009</v>
      </c>
    </row>
    <row r="28" spans="1:29" ht="15">
      <c r="A28" s="528"/>
      <c r="B28" s="873">
        <v>111</v>
      </c>
      <c r="C28" s="535"/>
      <c r="D28" s="536">
        <v>100</v>
      </c>
      <c r="E28" s="535"/>
      <c r="F28" s="571">
        <f>SUMIF(92:92,E28,93:93)-SUMIF(92:92,C28,93:93)+100</f>
        <v>100</v>
      </c>
      <c r="G28" s="535"/>
      <c r="H28" s="536">
        <f>SUMIF(92:92,G28,93:93)-SUMIF(92:92,C28,93:93)+100</f>
        <v>100</v>
      </c>
      <c r="I28" s="535"/>
      <c r="J28" s="536">
        <f>SUMIF(92:92,I28,93:93)-SUMIF(92:92,C28,93:93)+100</f>
        <v>100</v>
      </c>
      <c r="K28" s="861"/>
      <c r="L28" s="2137"/>
      <c r="M28" s="2129"/>
      <c r="N28" s="2129"/>
      <c r="O28" s="2136"/>
      <c r="P28" s="3466"/>
      <c r="Q28" s="3184">
        <f t="shared" si="11"/>
        <v>111</v>
      </c>
      <c r="R28" s="1568" t="s">
        <v>11</v>
      </c>
      <c r="S28" s="1569">
        <f t="shared" ref="S28:S46" si="12">F28</f>
        <v>100</v>
      </c>
      <c r="T28" s="1568" t="s">
        <v>11</v>
      </c>
      <c r="U28" s="1569">
        <f t="shared" ref="U28:U46" si="13">H28</f>
        <v>100</v>
      </c>
      <c r="V28" s="1568" t="s">
        <v>11</v>
      </c>
      <c r="W28" s="1569">
        <f t="shared" ref="W28:W46" si="14">J28</f>
        <v>100</v>
      </c>
      <c r="X28" s="3183"/>
      <c r="Y28" s="3466"/>
      <c r="Z28" s="3185">
        <f t="shared" ref="Z28:Z46" si="15">Q28</f>
        <v>111</v>
      </c>
      <c r="AA28" s="3186">
        <f t="shared" si="3"/>
        <v>1</v>
      </c>
      <c r="AB28" s="3186">
        <f t="shared" si="4"/>
        <v>1</v>
      </c>
      <c r="AC28" s="3186">
        <f t="shared" si="5"/>
        <v>1</v>
      </c>
    </row>
    <row r="29" spans="1:29" ht="15">
      <c r="A29" s="528"/>
      <c r="B29" s="873">
        <v>111</v>
      </c>
      <c r="C29" s="535"/>
      <c r="D29" s="536">
        <v>100</v>
      </c>
      <c r="E29" s="535"/>
      <c r="F29" s="571">
        <f>SUMIF(94:94,E29,95:95)-SUMIF(94:94,C29,95:95)+100</f>
        <v>100</v>
      </c>
      <c r="G29" s="535"/>
      <c r="H29" s="536">
        <f>SUMIF(94:94,G29,95:95)-SUMIF(94:94,C29,95:95)+100</f>
        <v>100</v>
      </c>
      <c r="I29" s="535"/>
      <c r="J29" s="536">
        <f>SUMIF(94:94,I29,95:95)-SUMIF(94:94,C29,95:95)+100</f>
        <v>100</v>
      </c>
      <c r="K29" s="861"/>
      <c r="L29" s="2137"/>
      <c r="M29" s="2129"/>
      <c r="N29" s="2129"/>
      <c r="O29" s="2136"/>
      <c r="P29" s="3466"/>
      <c r="Q29" s="3184">
        <f t="shared" si="11"/>
        <v>111</v>
      </c>
      <c r="R29" s="1568" t="s">
        <v>11</v>
      </c>
      <c r="S29" s="1569">
        <f t="shared" si="12"/>
        <v>100</v>
      </c>
      <c r="T29" s="1568" t="s">
        <v>11</v>
      </c>
      <c r="U29" s="1569">
        <f t="shared" si="13"/>
        <v>100</v>
      </c>
      <c r="V29" s="1568" t="s">
        <v>11</v>
      </c>
      <c r="W29" s="1569">
        <f t="shared" si="14"/>
        <v>100</v>
      </c>
      <c r="X29" s="3183"/>
      <c r="Y29" s="3466"/>
      <c r="Z29" s="3185">
        <f t="shared" si="15"/>
        <v>111</v>
      </c>
      <c r="AA29" s="3186">
        <f t="shared" si="3"/>
        <v>1</v>
      </c>
      <c r="AB29" s="3186">
        <f t="shared" si="4"/>
        <v>1</v>
      </c>
      <c r="AC29" s="3186">
        <f t="shared" si="5"/>
        <v>1</v>
      </c>
    </row>
    <row r="30" spans="1:29" ht="15">
      <c r="A30" s="528"/>
      <c r="B30" s="873">
        <v>111</v>
      </c>
      <c r="C30" s="535"/>
      <c r="D30" s="536">
        <v>100</v>
      </c>
      <c r="E30" s="535"/>
      <c r="F30" s="571">
        <f>SUMIF(96:96,E30,97:97)-SUMIF(96:96,C30,97:97)+100</f>
        <v>100</v>
      </c>
      <c r="G30" s="535"/>
      <c r="H30" s="536">
        <f>SUMIF(96:96,G30,97:97)-SUMIF(96:96,C30,97:97)+100</f>
        <v>100</v>
      </c>
      <c r="I30" s="535"/>
      <c r="J30" s="536">
        <f>SUMIF(96:96,I30,97:97)-SUMIF(96:96,C30,97:97)+100</f>
        <v>100</v>
      </c>
      <c r="K30" s="861"/>
      <c r="L30" s="2137"/>
      <c r="M30" s="2129"/>
      <c r="N30" s="2129"/>
      <c r="O30" s="2136"/>
      <c r="P30" s="3466"/>
      <c r="Q30" s="3184">
        <f t="shared" si="11"/>
        <v>111</v>
      </c>
      <c r="R30" s="1568" t="s">
        <v>11</v>
      </c>
      <c r="S30" s="1569">
        <f t="shared" si="12"/>
        <v>100</v>
      </c>
      <c r="T30" s="1568" t="s">
        <v>11</v>
      </c>
      <c r="U30" s="1569">
        <f t="shared" si="13"/>
        <v>100</v>
      </c>
      <c r="V30" s="1568" t="s">
        <v>11</v>
      </c>
      <c r="W30" s="1569">
        <f t="shared" si="14"/>
        <v>100</v>
      </c>
      <c r="X30" s="3183"/>
      <c r="Y30" s="3466"/>
      <c r="Z30" s="3185">
        <f t="shared" si="15"/>
        <v>111</v>
      </c>
      <c r="AA30" s="3186">
        <f t="shared" si="3"/>
        <v>1</v>
      </c>
      <c r="AB30" s="3186">
        <f t="shared" si="4"/>
        <v>1</v>
      </c>
      <c r="AC30" s="3186">
        <f t="shared" si="5"/>
        <v>1</v>
      </c>
    </row>
    <row r="31" spans="1:29" ht="15.75" thickBot="1">
      <c r="A31" s="539"/>
      <c r="B31" s="873">
        <v>111</v>
      </c>
      <c r="C31" s="541"/>
      <c r="D31" s="542">
        <v>100</v>
      </c>
      <c r="E31" s="541"/>
      <c r="F31" s="862">
        <f>SUMIF(98:98,E31,99:99)-SUMIF(98:98,C31,99:99)+100</f>
        <v>100</v>
      </c>
      <c r="G31" s="541"/>
      <c r="H31" s="542">
        <f>SUMIF(98:98,G31,99:99)-SUMIF(98:98,C31,99:99)+100</f>
        <v>100</v>
      </c>
      <c r="I31" s="541"/>
      <c r="J31" s="542">
        <f>SUMIF(98:98,I31,99:99)-SUMIF(98:98,C31,99:99)+100</f>
        <v>100</v>
      </c>
      <c r="K31" s="861"/>
      <c r="L31" s="2137"/>
      <c r="M31" s="2129"/>
      <c r="N31" s="2129"/>
      <c r="O31" s="2136"/>
      <c r="P31" s="3466"/>
      <c r="Q31" s="3184">
        <f t="shared" si="11"/>
        <v>111</v>
      </c>
      <c r="R31" s="1568" t="s">
        <v>11</v>
      </c>
      <c r="S31" s="1569">
        <f t="shared" si="12"/>
        <v>100</v>
      </c>
      <c r="T31" s="1568" t="s">
        <v>11</v>
      </c>
      <c r="U31" s="1569">
        <f t="shared" si="13"/>
        <v>100</v>
      </c>
      <c r="V31" s="1568" t="s">
        <v>11</v>
      </c>
      <c r="W31" s="1569">
        <f t="shared" si="14"/>
        <v>100</v>
      </c>
      <c r="X31" s="3183"/>
      <c r="Y31" s="3466"/>
      <c r="Z31" s="3185">
        <f t="shared" si="15"/>
        <v>111</v>
      </c>
      <c r="AA31" s="3186">
        <f t="shared" si="3"/>
        <v>1</v>
      </c>
      <c r="AB31" s="3186">
        <f t="shared" si="4"/>
        <v>1</v>
      </c>
      <c r="AC31" s="3186">
        <f t="shared" si="5"/>
        <v>1</v>
      </c>
    </row>
    <row r="32" spans="1:29" ht="15">
      <c r="A32" s="2928" t="s">
        <v>2754</v>
      </c>
      <c r="B32" s="171" t="s">
        <v>719</v>
      </c>
      <c r="C32" s="874" t="s">
        <v>3099</v>
      </c>
      <c r="D32" s="593">
        <v>100</v>
      </c>
      <c r="E32" s="874" t="s">
        <v>3049</v>
      </c>
      <c r="F32" s="571">
        <f>SUMIF(100:100,E32,101:101)-SUMIF(100:100,C32,101:101)+100</f>
        <v>90</v>
      </c>
      <c r="G32" s="874" t="s">
        <v>3049</v>
      </c>
      <c r="H32" s="593">
        <f>SUMIF(100:100,G32,101:101)-SUMIF(100:100,C32,101:101)+100</f>
        <v>90</v>
      </c>
      <c r="I32" s="874" t="s">
        <v>3049</v>
      </c>
      <c r="J32" s="536">
        <f>SUMIF(100:100,I32,101:101)-SUMIF(100:100,C32,101:101)+100</f>
        <v>90</v>
      </c>
      <c r="K32" s="860">
        <v>10</v>
      </c>
      <c r="L32" s="2137"/>
      <c r="M32" s="2129"/>
      <c r="N32" s="2129"/>
      <c r="O32" s="2136"/>
      <c r="P32" s="3467" t="s">
        <v>544</v>
      </c>
      <c r="Q32" s="3184" t="str">
        <f t="shared" si="11"/>
        <v>建筑类型</v>
      </c>
      <c r="R32" s="1568" t="s">
        <v>11</v>
      </c>
      <c r="S32" s="1569">
        <f t="shared" si="12"/>
        <v>90</v>
      </c>
      <c r="T32" s="1568" t="s">
        <v>11</v>
      </c>
      <c r="U32" s="1569">
        <f t="shared" si="13"/>
        <v>90</v>
      </c>
      <c r="V32" s="1568" t="s">
        <v>11</v>
      </c>
      <c r="W32" s="1569">
        <f t="shared" si="14"/>
        <v>90</v>
      </c>
      <c r="X32" s="3183"/>
      <c r="Y32" s="3468" t="s">
        <v>544</v>
      </c>
      <c r="Z32" s="3185" t="str">
        <f t="shared" si="15"/>
        <v>建筑类型</v>
      </c>
      <c r="AA32" s="3186">
        <f t="shared" si="3"/>
        <v>1.1111111111111112</v>
      </c>
      <c r="AB32" s="3186">
        <f t="shared" si="4"/>
        <v>1.1111111111111112</v>
      </c>
      <c r="AC32" s="3186">
        <f t="shared" si="5"/>
        <v>1.1111111111111112</v>
      </c>
    </row>
    <row r="33" spans="1:29" s="1334" customFormat="1" ht="15">
      <c r="A33" s="599"/>
      <c r="B33" s="525" t="s">
        <v>720</v>
      </c>
      <c r="C33" s="875">
        <f>'数据-汇总表'!E3</f>
        <v>412759.99</v>
      </c>
      <c r="D33" s="250">
        <v>100</v>
      </c>
      <c r="E33" s="530">
        <v>470000</v>
      </c>
      <c r="F33" s="859">
        <f>LOOKUP(E33,103:103,104:104)-LOOKUP(C33,103:103,104:104)+100</f>
        <v>100</v>
      </c>
      <c r="G33" s="529">
        <v>204250</v>
      </c>
      <c r="H33" s="250">
        <f>LOOKUP(G33,103:103,104:104)-LOOKUP(C33,103:103,104:104)+100</f>
        <v>98</v>
      </c>
      <c r="I33" s="530">
        <v>520000</v>
      </c>
      <c r="J33" s="250">
        <f>LOOKUP(I33,103:103,104:104)-LOOKUP(C33,103:103,104:104)+100</f>
        <v>101</v>
      </c>
      <c r="K33" s="861"/>
      <c r="L33" s="2135"/>
      <c r="M33" s="2166"/>
      <c r="N33" s="2166"/>
      <c r="O33" s="2138"/>
      <c r="P33" s="3468"/>
      <c r="Q33" s="1600" t="str">
        <f t="shared" si="11"/>
        <v>项目建筑规模</v>
      </c>
      <c r="R33" s="1572" t="s">
        <v>11</v>
      </c>
      <c r="S33" s="1573">
        <f t="shared" si="12"/>
        <v>100</v>
      </c>
      <c r="T33" s="1572" t="s">
        <v>11</v>
      </c>
      <c r="U33" s="1573">
        <f t="shared" si="13"/>
        <v>98</v>
      </c>
      <c r="V33" s="1572" t="s">
        <v>11</v>
      </c>
      <c r="W33" s="1573">
        <f t="shared" si="14"/>
        <v>101</v>
      </c>
      <c r="X33" s="1574"/>
      <c r="Y33" s="3468"/>
      <c r="Z33" s="1575" t="str">
        <f t="shared" si="15"/>
        <v>项目建筑规模</v>
      </c>
      <c r="AA33" s="3186">
        <f t="shared" si="3"/>
        <v>1</v>
      </c>
      <c r="AB33" s="3186">
        <f t="shared" si="4"/>
        <v>1.0204081632653061</v>
      </c>
      <c r="AC33" s="3186">
        <f t="shared" si="5"/>
        <v>0.99009900990099009</v>
      </c>
    </row>
    <row r="34" spans="1:29" ht="15">
      <c r="A34" s="590"/>
      <c r="B34" s="525" t="s">
        <v>721</v>
      </c>
      <c r="C34" s="876" t="s">
        <v>3005</v>
      </c>
      <c r="D34" s="536">
        <v>100</v>
      </c>
      <c r="E34" s="876" t="s">
        <v>3005</v>
      </c>
      <c r="F34" s="571">
        <f>SUMIF(105:105,E34,106:106)-SUMIF(105:105,C34,106:106)+100</f>
        <v>100</v>
      </c>
      <c r="G34" s="876" t="s">
        <v>3005</v>
      </c>
      <c r="H34" s="536">
        <f>SUMIF(105:105,G34,106:106)-SUMIF(105:105,C34,106:106)+100</f>
        <v>100</v>
      </c>
      <c r="I34" s="877" t="s">
        <v>3005</v>
      </c>
      <c r="J34" s="536">
        <f>SUMIF(105:105,I34,106:106)-SUMIF(105:105,C34,106:106)+100</f>
        <v>100</v>
      </c>
      <c r="K34" s="860">
        <v>1</v>
      </c>
      <c r="L34" s="2137"/>
      <c r="M34" s="2129"/>
      <c r="N34" s="2129"/>
      <c r="O34" s="2136"/>
      <c r="P34" s="3468"/>
      <c r="Q34" s="3184" t="str">
        <f t="shared" si="11"/>
        <v>建筑结构</v>
      </c>
      <c r="R34" s="1568" t="s">
        <v>11</v>
      </c>
      <c r="S34" s="1569">
        <f t="shared" si="12"/>
        <v>100</v>
      </c>
      <c r="T34" s="1568" t="s">
        <v>11</v>
      </c>
      <c r="U34" s="1569">
        <f t="shared" si="13"/>
        <v>100</v>
      </c>
      <c r="V34" s="1568" t="s">
        <v>11</v>
      </c>
      <c r="W34" s="1569">
        <f t="shared" si="14"/>
        <v>100</v>
      </c>
      <c r="X34" s="3183"/>
      <c r="Y34" s="3468"/>
      <c r="Z34" s="3185" t="str">
        <f t="shared" si="15"/>
        <v>建筑结构</v>
      </c>
      <c r="AA34" s="3186">
        <f t="shared" si="3"/>
        <v>1</v>
      </c>
      <c r="AB34" s="3186">
        <f t="shared" si="4"/>
        <v>1</v>
      </c>
      <c r="AC34" s="3186">
        <f t="shared" si="5"/>
        <v>1</v>
      </c>
    </row>
    <row r="35" spans="1:29" ht="15">
      <c r="A35" s="590"/>
      <c r="B35" s="525" t="s">
        <v>722</v>
      </c>
      <c r="C35" s="595"/>
      <c r="D35" s="536">
        <v>100</v>
      </c>
      <c r="E35" s="870"/>
      <c r="F35" s="571">
        <f>SUMIF(107:107,E35,108:108)-SUMIF(107:107,C35,108:108)+100</f>
        <v>100</v>
      </c>
      <c r="G35" s="595"/>
      <c r="H35" s="536">
        <f>SUMIF(107:107,G35,108:108)-SUMIF(107:107,C35,108:108)+100</f>
        <v>100</v>
      </c>
      <c r="I35" s="870"/>
      <c r="J35" s="536">
        <f>SUMIF(107:107,I35,108:108)-SUMIF(107:107,C35,108:108)+100</f>
        <v>100</v>
      </c>
      <c r="K35" s="860"/>
      <c r="L35" s="2137"/>
      <c r="M35" s="2129"/>
      <c r="N35" s="2129"/>
      <c r="O35" s="2136"/>
      <c r="P35" s="3468"/>
      <c r="Q35" s="3184" t="str">
        <f t="shared" si="11"/>
        <v>建筑品质</v>
      </c>
      <c r="R35" s="1568" t="s">
        <v>11</v>
      </c>
      <c r="S35" s="1569">
        <f t="shared" si="12"/>
        <v>100</v>
      </c>
      <c r="T35" s="1568" t="s">
        <v>11</v>
      </c>
      <c r="U35" s="1569">
        <f t="shared" si="13"/>
        <v>100</v>
      </c>
      <c r="V35" s="1568" t="s">
        <v>11</v>
      </c>
      <c r="W35" s="1569">
        <f t="shared" si="14"/>
        <v>100</v>
      </c>
      <c r="X35" s="3183"/>
      <c r="Y35" s="3468"/>
      <c r="Z35" s="3185" t="str">
        <f t="shared" si="15"/>
        <v>建筑品质</v>
      </c>
      <c r="AA35" s="3186">
        <f t="shared" si="3"/>
        <v>1</v>
      </c>
      <c r="AB35" s="3186">
        <f t="shared" si="4"/>
        <v>1</v>
      </c>
      <c r="AC35" s="3186">
        <f t="shared" si="5"/>
        <v>1</v>
      </c>
    </row>
    <row r="36" spans="1:29" ht="15">
      <c r="A36" s="590"/>
      <c r="B36" s="525" t="s">
        <v>723</v>
      </c>
      <c r="C36" s="595" t="s">
        <v>3060</v>
      </c>
      <c r="D36" s="536">
        <v>100</v>
      </c>
      <c r="E36" s="595" t="s">
        <v>3060</v>
      </c>
      <c r="F36" s="571">
        <f>SUMIF(109:109,E36,110:110)-SUMIF(109:109,C36,110:110)+100</f>
        <v>100</v>
      </c>
      <c r="G36" s="595" t="s">
        <v>3060</v>
      </c>
      <c r="H36" s="536">
        <f>SUMIF(109:109,G36,110:110)-SUMIF(109:109,C36,110:110)+100</f>
        <v>100</v>
      </c>
      <c r="I36" s="595" t="s">
        <v>3060</v>
      </c>
      <c r="J36" s="536">
        <f>SUMIF(109:109,I36,110:110)-SUMIF(109:109,C36,110:110)+100</f>
        <v>100</v>
      </c>
      <c r="K36" s="860">
        <v>3</v>
      </c>
      <c r="L36" s="2137"/>
      <c r="M36" s="2129"/>
      <c r="N36" s="2129"/>
      <c r="O36" s="2136"/>
      <c r="P36" s="3468"/>
      <c r="Q36" s="3184" t="str">
        <f t="shared" si="11"/>
        <v>公共部分装修</v>
      </c>
      <c r="R36" s="1568" t="s">
        <v>11</v>
      </c>
      <c r="S36" s="1569">
        <f t="shared" si="12"/>
        <v>100</v>
      </c>
      <c r="T36" s="1568" t="s">
        <v>11</v>
      </c>
      <c r="U36" s="1569">
        <f t="shared" si="13"/>
        <v>100</v>
      </c>
      <c r="V36" s="1568" t="s">
        <v>11</v>
      </c>
      <c r="W36" s="1569">
        <f t="shared" si="14"/>
        <v>100</v>
      </c>
      <c r="X36" s="3183"/>
      <c r="Y36" s="3468"/>
      <c r="Z36" s="3185" t="str">
        <f t="shared" si="15"/>
        <v>公共部分装修</v>
      </c>
      <c r="AA36" s="3186">
        <f t="shared" si="3"/>
        <v>1</v>
      </c>
      <c r="AB36" s="3186">
        <f t="shared" si="4"/>
        <v>1</v>
      </c>
      <c r="AC36" s="3186">
        <f t="shared" si="5"/>
        <v>1</v>
      </c>
    </row>
    <row r="37" spans="1:29" s="1215" customFormat="1" ht="15">
      <c r="A37" s="596"/>
      <c r="B37" s="1890" t="s">
        <v>3075</v>
      </c>
      <c r="C37" s="878">
        <v>1</v>
      </c>
      <c r="D37" s="250">
        <v>100</v>
      </c>
      <c r="E37" s="879">
        <v>1</v>
      </c>
      <c r="F37" s="859">
        <f>LOOKUP(E37,112:112,113:113)-LOOKUP(C37,112:112,113:113)+100</f>
        <v>100</v>
      </c>
      <c r="G37" s="880">
        <v>1</v>
      </c>
      <c r="H37" s="250">
        <f>LOOKUP(G37,112:112,113:113)-LOOKUP(C37,112:112,113:113)+100</f>
        <v>100</v>
      </c>
      <c r="I37" s="879">
        <v>1</v>
      </c>
      <c r="J37" s="250">
        <f>LOOKUP(I37,112:112,113:113)-LOOKUP(C37,112:112,113:113)+100</f>
        <v>100</v>
      </c>
      <c r="K37" s="860"/>
      <c r="L37" s="2130"/>
      <c r="M37" s="2131"/>
      <c r="N37" s="2131"/>
      <c r="O37" s="2132"/>
      <c r="P37" s="3468"/>
      <c r="Q37" s="3178" t="str">
        <f t="shared" si="11"/>
        <v>成新度</v>
      </c>
      <c r="R37" s="1563" t="s">
        <v>11</v>
      </c>
      <c r="S37" s="1564">
        <f t="shared" si="12"/>
        <v>100</v>
      </c>
      <c r="T37" s="1563" t="s">
        <v>11</v>
      </c>
      <c r="U37" s="1564">
        <f t="shared" si="13"/>
        <v>100</v>
      </c>
      <c r="V37" s="1563" t="s">
        <v>11</v>
      </c>
      <c r="W37" s="1564">
        <f t="shared" si="14"/>
        <v>100</v>
      </c>
      <c r="X37" s="1565"/>
      <c r="Y37" s="3468"/>
      <c r="Z37" s="3176" t="str">
        <f t="shared" si="15"/>
        <v>成新度</v>
      </c>
      <c r="AA37" s="1566">
        <f t="shared" si="3"/>
        <v>1</v>
      </c>
      <c r="AB37" s="1566">
        <f t="shared" si="4"/>
        <v>1</v>
      </c>
      <c r="AC37" s="1566">
        <f t="shared" si="5"/>
        <v>1</v>
      </c>
    </row>
    <row r="38" spans="1:29" ht="15">
      <c r="A38" s="590"/>
      <c r="B38" s="525" t="s">
        <v>724</v>
      </c>
      <c r="C38" s="595" t="s">
        <v>3070</v>
      </c>
      <c r="D38" s="536">
        <v>100</v>
      </c>
      <c r="E38" s="595" t="s">
        <v>3070</v>
      </c>
      <c r="F38" s="571">
        <f>SUMIF(114:114,E38,115:115)-SUMIF(114:114,C38,115:115)+100</f>
        <v>100</v>
      </c>
      <c r="G38" s="595" t="s">
        <v>3070</v>
      </c>
      <c r="H38" s="536">
        <f>SUMIF(114:114,G38,115:115)-SUMIF(114:114,C38,115:115)+100</f>
        <v>100</v>
      </c>
      <c r="I38" s="595" t="s">
        <v>3070</v>
      </c>
      <c r="J38" s="536">
        <f>SUMIF(114:114,I38,115:115)-SUMIF(114:114,C38,115:115)+100</f>
        <v>100</v>
      </c>
      <c r="K38" s="860">
        <v>2</v>
      </c>
      <c r="L38" s="2137"/>
      <c r="M38" s="2129"/>
      <c r="N38" s="2129"/>
      <c r="O38" s="2136"/>
      <c r="P38" s="3468" t="s">
        <v>544</v>
      </c>
      <c r="Q38" s="3184" t="str">
        <f t="shared" si="11"/>
        <v>物业管理</v>
      </c>
      <c r="R38" s="1568" t="s">
        <v>11</v>
      </c>
      <c r="S38" s="1569">
        <f t="shared" si="12"/>
        <v>100</v>
      </c>
      <c r="T38" s="1568" t="s">
        <v>11</v>
      </c>
      <c r="U38" s="1569">
        <f t="shared" si="13"/>
        <v>100</v>
      </c>
      <c r="V38" s="1568" t="s">
        <v>11</v>
      </c>
      <c r="W38" s="1569">
        <f t="shared" si="14"/>
        <v>100</v>
      </c>
      <c r="X38" s="3183"/>
      <c r="Y38" s="3468" t="s">
        <v>544</v>
      </c>
      <c r="Z38" s="3185" t="str">
        <f t="shared" si="15"/>
        <v>物业管理</v>
      </c>
      <c r="AA38" s="3186">
        <f t="shared" si="3"/>
        <v>1</v>
      </c>
      <c r="AB38" s="3186">
        <f t="shared" si="4"/>
        <v>1</v>
      </c>
      <c r="AC38" s="3186">
        <f t="shared" si="5"/>
        <v>1</v>
      </c>
    </row>
    <row r="39" spans="1:29" ht="15">
      <c r="A39" s="590"/>
      <c r="B39" s="1890" t="s">
        <v>2561</v>
      </c>
      <c r="C39" s="595" t="s">
        <v>3041</v>
      </c>
      <c r="D39" s="536">
        <v>100</v>
      </c>
      <c r="E39" s="595" t="s">
        <v>3041</v>
      </c>
      <c r="F39" s="571">
        <f>SUMIF(116:116,E39,117:117)-SUMIF(116:116,C39,117:117)+100</f>
        <v>100</v>
      </c>
      <c r="G39" s="595" t="s">
        <v>3041</v>
      </c>
      <c r="H39" s="536">
        <f>SUMIF(116:116,G39,117:117)-SUMIF(116:116,C39,117:117)+100</f>
        <v>100</v>
      </c>
      <c r="I39" s="595" t="s">
        <v>3041</v>
      </c>
      <c r="J39" s="536">
        <f>SUMIF(116:116,I39,117:117)-SUMIF(116:116,C39,117:117)+100</f>
        <v>100</v>
      </c>
      <c r="K39" s="860">
        <v>1</v>
      </c>
      <c r="L39" s="2137"/>
      <c r="M39" s="2129"/>
      <c r="N39" s="2129"/>
      <c r="O39" s="2136"/>
      <c r="P39" s="3468"/>
      <c r="Q39" s="3184" t="str">
        <f t="shared" si="11"/>
        <v>市政基础设施</v>
      </c>
      <c r="R39" s="1568" t="s">
        <v>11</v>
      </c>
      <c r="S39" s="1569">
        <f t="shared" si="12"/>
        <v>100</v>
      </c>
      <c r="T39" s="1568" t="s">
        <v>11</v>
      </c>
      <c r="U39" s="1569">
        <f t="shared" si="13"/>
        <v>100</v>
      </c>
      <c r="V39" s="1568" t="s">
        <v>11</v>
      </c>
      <c r="W39" s="1569">
        <f t="shared" si="14"/>
        <v>100</v>
      </c>
      <c r="X39" s="3183"/>
      <c r="Y39" s="3468"/>
      <c r="Z39" s="3185" t="str">
        <f t="shared" si="15"/>
        <v>市政基础设施</v>
      </c>
      <c r="AA39" s="3186">
        <f t="shared" si="3"/>
        <v>1</v>
      </c>
      <c r="AB39" s="3186">
        <f t="shared" si="4"/>
        <v>1</v>
      </c>
      <c r="AC39" s="3186">
        <f t="shared" si="5"/>
        <v>1</v>
      </c>
    </row>
    <row r="40" spans="1:29" ht="15">
      <c r="A40" s="590"/>
      <c r="B40" s="525" t="s">
        <v>725</v>
      </c>
      <c r="C40" s="595"/>
      <c r="D40" s="536">
        <v>100</v>
      </c>
      <c r="E40" s="870"/>
      <c r="F40" s="571">
        <f>SUMIF(118:118,E40,119:119)-SUMIF(118:118,C40,119:119)+100</f>
        <v>100</v>
      </c>
      <c r="G40" s="595"/>
      <c r="H40" s="536">
        <f>SUMIF(118:118,G40,119:119)-SUMIF(118:118,C40,119:119)+100</f>
        <v>100</v>
      </c>
      <c r="I40" s="870"/>
      <c r="J40" s="536">
        <f>SUMIF(118:118,I40,119:119)-SUMIF(118:118,C40,119:119)+100</f>
        <v>100</v>
      </c>
      <c r="K40" s="860"/>
      <c r="L40" s="2137"/>
      <c r="M40" s="2129"/>
      <c r="N40" s="2129"/>
      <c r="O40" s="2136"/>
      <c r="P40" s="3468"/>
      <c r="Q40" s="3184" t="str">
        <f t="shared" si="11"/>
        <v>房型</v>
      </c>
      <c r="R40" s="1568" t="s">
        <v>11</v>
      </c>
      <c r="S40" s="1569">
        <f t="shared" si="12"/>
        <v>100</v>
      </c>
      <c r="T40" s="1568" t="s">
        <v>11</v>
      </c>
      <c r="U40" s="1569">
        <f t="shared" si="13"/>
        <v>100</v>
      </c>
      <c r="V40" s="1568" t="s">
        <v>11</v>
      </c>
      <c r="W40" s="1569">
        <f t="shared" si="14"/>
        <v>100</v>
      </c>
      <c r="X40" s="3183"/>
      <c r="Y40" s="3468"/>
      <c r="Z40" s="3185" t="str">
        <f t="shared" si="15"/>
        <v>房型</v>
      </c>
      <c r="AA40" s="3186">
        <f t="shared" si="3"/>
        <v>1</v>
      </c>
      <c r="AB40" s="3186">
        <f t="shared" si="4"/>
        <v>1</v>
      </c>
      <c r="AC40" s="3186">
        <f t="shared" si="5"/>
        <v>1</v>
      </c>
    </row>
    <row r="41" spans="1:29" s="1334" customFormat="1" ht="28.5">
      <c r="A41" s="599"/>
      <c r="B41" s="525" t="s">
        <v>726</v>
      </c>
      <c r="C41" s="875"/>
      <c r="D41" s="250">
        <v>100</v>
      </c>
      <c r="E41" s="530"/>
      <c r="F41" s="859">
        <f>SUMIF(120:120,E41,121:121)-SUMIF(120:120,C41,121:121)+100</f>
        <v>100</v>
      </c>
      <c r="G41" s="529"/>
      <c r="H41" s="250">
        <f>SUMIF(120:120,G41,121:121)-SUMIF(120:120,C41,121:121)+100</f>
        <v>100</v>
      </c>
      <c r="I41" s="582"/>
      <c r="J41" s="536">
        <f>SUMIF(120:120,I41,121:121)-SUMIF(120:120,C41,121:121)+100</f>
        <v>100</v>
      </c>
      <c r="K41" s="861"/>
      <c r="L41" s="2135"/>
      <c r="M41" s="2166"/>
      <c r="N41" s="2166"/>
      <c r="O41" s="2138"/>
      <c r="P41" s="3468"/>
      <c r="Q41" s="1600" t="str">
        <f t="shared" si="11"/>
        <v>单套/主力户型建筑面积</v>
      </c>
      <c r="R41" s="1572" t="s">
        <v>11</v>
      </c>
      <c r="S41" s="1573">
        <f t="shared" si="12"/>
        <v>100</v>
      </c>
      <c r="T41" s="1572" t="s">
        <v>11</v>
      </c>
      <c r="U41" s="1573">
        <f t="shared" si="13"/>
        <v>100</v>
      </c>
      <c r="V41" s="1572" t="s">
        <v>11</v>
      </c>
      <c r="W41" s="1573">
        <f t="shared" si="14"/>
        <v>100</v>
      </c>
      <c r="X41" s="1574"/>
      <c r="Y41" s="3468"/>
      <c r="Z41" s="1575" t="str">
        <f t="shared" si="15"/>
        <v>单套/主力户型建筑面积</v>
      </c>
      <c r="AA41" s="3186">
        <f t="shared" si="3"/>
        <v>1</v>
      </c>
      <c r="AB41" s="3186">
        <f t="shared" si="4"/>
        <v>1</v>
      </c>
      <c r="AC41" s="3186">
        <f t="shared" si="5"/>
        <v>1</v>
      </c>
    </row>
    <row r="42" spans="1:29" ht="15">
      <c r="A42" s="590"/>
      <c r="B42" s="525" t="s">
        <v>727</v>
      </c>
      <c r="C42" s="595" t="s">
        <v>3060</v>
      </c>
      <c r="D42" s="536">
        <v>100</v>
      </c>
      <c r="E42" s="870" t="s">
        <v>3071</v>
      </c>
      <c r="F42" s="571">
        <f>SUMIF(122:122,E42,123:123)-SUMIF(122:122,C42,123:123)+100</f>
        <v>91</v>
      </c>
      <c r="G42" s="595" t="s">
        <v>3071</v>
      </c>
      <c r="H42" s="536">
        <f>SUMIF(122:122,G42,123:123)-SUMIF(122:122,C42,123:123)+100</f>
        <v>91</v>
      </c>
      <c r="I42" s="595" t="s">
        <v>3060</v>
      </c>
      <c r="J42" s="536">
        <f>SUMIF(122:122,I42,123:123)-SUMIF(122:122,C42,123:123)+100</f>
        <v>100</v>
      </c>
      <c r="K42" s="860">
        <f>'不动产比较法-高层'!K42</f>
        <v>3</v>
      </c>
      <c r="L42" s="2137"/>
      <c r="M42" s="2129"/>
      <c r="N42" s="2129"/>
      <c r="O42" s="2136"/>
      <c r="P42" s="3468"/>
      <c r="Q42" s="3184" t="str">
        <f t="shared" si="11"/>
        <v>内部装修</v>
      </c>
      <c r="R42" s="1568" t="s">
        <v>11</v>
      </c>
      <c r="S42" s="1569">
        <f t="shared" si="12"/>
        <v>91</v>
      </c>
      <c r="T42" s="1568" t="s">
        <v>11</v>
      </c>
      <c r="U42" s="1569">
        <f t="shared" si="13"/>
        <v>91</v>
      </c>
      <c r="V42" s="1568" t="s">
        <v>11</v>
      </c>
      <c r="W42" s="1569">
        <f t="shared" si="14"/>
        <v>100</v>
      </c>
      <c r="X42" s="3183"/>
      <c r="Y42" s="3468"/>
      <c r="Z42" s="3185" t="str">
        <f t="shared" si="15"/>
        <v>内部装修</v>
      </c>
      <c r="AA42" s="3186">
        <f t="shared" si="3"/>
        <v>1.098901098901099</v>
      </c>
      <c r="AB42" s="3186">
        <f t="shared" si="4"/>
        <v>1.098901098901099</v>
      </c>
      <c r="AC42" s="3186">
        <f t="shared" si="5"/>
        <v>1</v>
      </c>
    </row>
    <row r="43" spans="1:29" ht="27">
      <c r="A43" s="590"/>
      <c r="B43" s="525" t="s">
        <v>728</v>
      </c>
      <c r="C43" s="595" t="s">
        <v>3040</v>
      </c>
      <c r="D43" s="536">
        <v>100</v>
      </c>
      <c r="E43" s="595" t="s">
        <v>3040</v>
      </c>
      <c r="F43" s="571">
        <f>SUMIF(124:124,E43,125:125)-SUMIF(124:124,C43,125:125)+100</f>
        <v>100</v>
      </c>
      <c r="G43" s="595" t="s">
        <v>3040</v>
      </c>
      <c r="H43" s="536">
        <f>SUMIF(124:124,G43,125:125)-SUMIF(124:124,C43,125:125)+100</f>
        <v>100</v>
      </c>
      <c r="I43" s="595" t="s">
        <v>3040</v>
      </c>
      <c r="J43" s="536">
        <f>SUMIF(124:124,I43,125:125)-SUMIF(124:124,C43,125:125)+100</f>
        <v>100</v>
      </c>
      <c r="K43" s="860">
        <v>2</v>
      </c>
      <c r="L43" s="2137"/>
      <c r="M43" s="2129"/>
      <c r="N43" s="2129"/>
      <c r="O43" s="2136"/>
      <c r="P43" s="3468"/>
      <c r="Q43" s="3184" t="str">
        <f t="shared" si="11"/>
        <v>内部装修维护情况</v>
      </c>
      <c r="R43" s="1568" t="s">
        <v>11</v>
      </c>
      <c r="S43" s="1569">
        <f t="shared" si="12"/>
        <v>100</v>
      </c>
      <c r="T43" s="1568" t="s">
        <v>11</v>
      </c>
      <c r="U43" s="1569">
        <f t="shared" si="13"/>
        <v>100</v>
      </c>
      <c r="V43" s="1568" t="s">
        <v>11</v>
      </c>
      <c r="W43" s="1569">
        <f t="shared" si="14"/>
        <v>100</v>
      </c>
      <c r="X43" s="3183"/>
      <c r="Y43" s="3468"/>
      <c r="Z43" s="3185" t="str">
        <f t="shared" si="15"/>
        <v>内部装修维护情况</v>
      </c>
      <c r="AA43" s="3186">
        <f t="shared" si="3"/>
        <v>1</v>
      </c>
      <c r="AB43" s="3186">
        <f t="shared" si="4"/>
        <v>1</v>
      </c>
      <c r="AC43" s="3186">
        <f t="shared" si="5"/>
        <v>1</v>
      </c>
    </row>
    <row r="44" spans="1:29" s="1215" customFormat="1" ht="15">
      <c r="A44" s="596"/>
      <c r="B44" s="873">
        <v>111</v>
      </c>
      <c r="C44" s="875"/>
      <c r="D44" s="250">
        <v>100</v>
      </c>
      <c r="E44" s="875"/>
      <c r="F44" s="859">
        <f>SUMIF(126:126,E44,127:127)-SUMIF(126:126,C44,127:127)+100</f>
        <v>100</v>
      </c>
      <c r="G44" s="875"/>
      <c r="H44" s="250">
        <f>SUMIF(126:126,G44,127:127)-SUMIF(126:126,C44,127:127)+100</f>
        <v>100</v>
      </c>
      <c r="I44" s="875"/>
      <c r="J44" s="250">
        <f>SUMIF(126:126,I44,127:127)-SUMIF(126:126,C44,127:127)+100</f>
        <v>100</v>
      </c>
      <c r="K44" s="861"/>
      <c r="L44" s="2130"/>
      <c r="M44" s="2131"/>
      <c r="N44" s="2131"/>
      <c r="O44" s="2132"/>
      <c r="P44" s="3468"/>
      <c r="Q44" s="3178">
        <f t="shared" si="11"/>
        <v>111</v>
      </c>
      <c r="R44" s="1563" t="s">
        <v>11</v>
      </c>
      <c r="S44" s="1564">
        <f t="shared" si="12"/>
        <v>100</v>
      </c>
      <c r="T44" s="1563" t="s">
        <v>11</v>
      </c>
      <c r="U44" s="1564">
        <f t="shared" si="13"/>
        <v>100</v>
      </c>
      <c r="V44" s="1563" t="s">
        <v>11</v>
      </c>
      <c r="W44" s="1564">
        <f t="shared" si="14"/>
        <v>100</v>
      </c>
      <c r="X44" s="1565"/>
      <c r="Y44" s="3468"/>
      <c r="Z44" s="3176">
        <f t="shared" si="15"/>
        <v>111</v>
      </c>
      <c r="AA44" s="1566">
        <f t="shared" si="3"/>
        <v>1</v>
      </c>
      <c r="AB44" s="1566">
        <f t="shared" si="4"/>
        <v>1</v>
      </c>
      <c r="AC44" s="1566">
        <f t="shared" si="5"/>
        <v>1</v>
      </c>
    </row>
    <row r="45" spans="1:29" ht="15">
      <c r="A45" s="590"/>
      <c r="B45" s="873">
        <v>111</v>
      </c>
      <c r="C45" s="535"/>
      <c r="D45" s="536">
        <v>100</v>
      </c>
      <c r="E45" s="535"/>
      <c r="F45" s="571">
        <f>SUMIF(128:128,E45,129:129)-SUMIF(128:128,C45,129:129)+100</f>
        <v>100</v>
      </c>
      <c r="G45" s="535"/>
      <c r="H45" s="536">
        <f>SUMIF(128:128,G45,129:129)-SUMIF(128:128,C45,129:129)+100</f>
        <v>100</v>
      </c>
      <c r="I45" s="535"/>
      <c r="J45" s="536">
        <f>SUMIF(128:128,I45,129:129)-SUMIF(128:128,C45,129:129)+100</f>
        <v>100</v>
      </c>
      <c r="K45" s="861"/>
      <c r="L45" s="2137"/>
      <c r="M45" s="2129"/>
      <c r="N45" s="2129"/>
      <c r="O45" s="2136"/>
      <c r="P45" s="3468"/>
      <c r="Q45" s="3184">
        <f t="shared" si="11"/>
        <v>111</v>
      </c>
      <c r="R45" s="1568" t="s">
        <v>11</v>
      </c>
      <c r="S45" s="1569">
        <f t="shared" si="12"/>
        <v>100</v>
      </c>
      <c r="T45" s="1568" t="s">
        <v>11</v>
      </c>
      <c r="U45" s="1569">
        <f t="shared" si="13"/>
        <v>100</v>
      </c>
      <c r="V45" s="1568" t="s">
        <v>11</v>
      </c>
      <c r="W45" s="1569">
        <f t="shared" si="14"/>
        <v>100</v>
      </c>
      <c r="X45" s="3183"/>
      <c r="Y45" s="3468"/>
      <c r="Z45" s="3185">
        <f t="shared" si="15"/>
        <v>111</v>
      </c>
      <c r="AA45" s="3186">
        <f t="shared" si="3"/>
        <v>1</v>
      </c>
      <c r="AB45" s="3186">
        <f t="shared" si="4"/>
        <v>1</v>
      </c>
      <c r="AC45" s="3186">
        <f t="shared" si="5"/>
        <v>1</v>
      </c>
    </row>
    <row r="46" spans="1:29" ht="15.75" thickBot="1">
      <c r="A46" s="881"/>
      <c r="B46" s="540">
        <v>111</v>
      </c>
      <c r="C46" s="541"/>
      <c r="D46" s="542">
        <v>100</v>
      </c>
      <c r="E46" s="541"/>
      <c r="F46" s="862">
        <f>SUMIF(130:130,E46,131:131)-SUMIF(130:130,C46,131:131)+100</f>
        <v>100</v>
      </c>
      <c r="G46" s="541"/>
      <c r="H46" s="542">
        <f>SUMIF(130:130,G46,131:131)-SUMIF(130:130,C46,131:131)+100</f>
        <v>100</v>
      </c>
      <c r="I46" s="541"/>
      <c r="J46" s="542">
        <f>SUMIF(130:130,I46,131:131)-SUMIF(130:130,C46,131:131)+100</f>
        <v>100</v>
      </c>
      <c r="K46" s="861"/>
      <c r="L46" s="2137"/>
      <c r="M46" s="2129"/>
      <c r="N46" s="2129"/>
      <c r="O46" s="2136"/>
      <c r="P46" s="3543"/>
      <c r="Q46" s="3184">
        <f t="shared" si="11"/>
        <v>111</v>
      </c>
      <c r="R46" s="1568" t="s">
        <v>10</v>
      </c>
      <c r="S46" s="1569">
        <f t="shared" si="12"/>
        <v>100</v>
      </c>
      <c r="T46" s="1568" t="s">
        <v>10</v>
      </c>
      <c r="U46" s="1569">
        <f t="shared" si="13"/>
        <v>100</v>
      </c>
      <c r="V46" s="1568" t="s">
        <v>10</v>
      </c>
      <c r="W46" s="1569">
        <f t="shared" si="14"/>
        <v>100</v>
      </c>
      <c r="X46" s="3183"/>
      <c r="Y46" s="3543"/>
      <c r="Z46" s="3185">
        <f t="shared" si="15"/>
        <v>111</v>
      </c>
      <c r="AA46" s="3186">
        <f t="shared" si="3"/>
        <v>1</v>
      </c>
      <c r="AB46" s="3186">
        <f t="shared" si="4"/>
        <v>1</v>
      </c>
      <c r="AC46" s="3186">
        <f t="shared" si="5"/>
        <v>1</v>
      </c>
    </row>
    <row r="47" spans="1:29" ht="15">
      <c r="A47" s="603" t="s">
        <v>729</v>
      </c>
      <c r="B47" s="882"/>
      <c r="C47" s="2646" t="s">
        <v>9</v>
      </c>
      <c r="D47" s="2647"/>
      <c r="E47" s="2648">
        <f>ROUND(44000*O60,0)</f>
        <v>43120</v>
      </c>
      <c r="F47" s="2649"/>
      <c r="G47" s="2648">
        <f>ROUND(42000*O60,0)</f>
        <v>41160</v>
      </c>
      <c r="H47" s="2651"/>
      <c r="I47" s="2648">
        <f>ROUND(45000*O60,0)</f>
        <v>44100</v>
      </c>
      <c r="J47" s="2651"/>
      <c r="K47" s="1601"/>
      <c r="L47" s="2139"/>
      <c r="M47" s="2140"/>
      <c r="N47" s="2129"/>
      <c r="O47" s="2140"/>
      <c r="P47" s="3463" t="str">
        <f>A47</f>
        <v>成交单价（元/平方米）</v>
      </c>
      <c r="Q47" s="3463"/>
      <c r="R47" s="3542">
        <f>E47</f>
        <v>43120</v>
      </c>
      <c r="S47" s="3542"/>
      <c r="T47" s="3542">
        <f>G47</f>
        <v>41160</v>
      </c>
      <c r="U47" s="3542"/>
      <c r="V47" s="3542">
        <f>I47</f>
        <v>44100</v>
      </c>
      <c r="W47" s="3542"/>
      <c r="X47" s="1554"/>
      <c r="Y47" s="1576"/>
      <c r="Z47" s="1554"/>
      <c r="AA47" s="1554"/>
      <c r="AB47" s="1554"/>
      <c r="AC47" s="1554"/>
    </row>
    <row r="48" spans="1:29" ht="15.75" thickBot="1">
      <c r="A48" s="611" t="s">
        <v>2759</v>
      </c>
      <c r="B48" s="883"/>
      <c r="C48" s="2652">
        <f>R49</f>
        <v>50595</v>
      </c>
      <c r="D48" s="2653"/>
      <c r="E48" s="2654">
        <f>R48</f>
        <v>53724</v>
      </c>
      <c r="F48" s="2654"/>
      <c r="G48" s="2652">
        <f>T48</f>
        <v>52350</v>
      </c>
      <c r="H48" s="2653"/>
      <c r="I48" s="2654">
        <f>V48</f>
        <v>45712</v>
      </c>
      <c r="J48" s="2653"/>
      <c r="K48" s="1602"/>
      <c r="L48" s="2139"/>
      <c r="M48" s="2140"/>
      <c r="N48" s="2140"/>
      <c r="O48" s="2140"/>
      <c r="P48" s="3463" t="str">
        <f>A48</f>
        <v>比较价格（元/平方米）</v>
      </c>
      <c r="Q48" s="3463"/>
      <c r="R48" s="3542">
        <f>IF(F1="售价",ROUND(PRODUCT(R47,AA7:AA46),0),ROUND(PRODUCT(R47,AA7:AA46),1))</f>
        <v>53724</v>
      </c>
      <c r="S48" s="3542"/>
      <c r="T48" s="3542">
        <f>IF(F1="售价",ROUND(PRODUCT(T47,AB7:AB46),0),ROUND(PRODUCT(T47,AB7:AB46),1))</f>
        <v>52350</v>
      </c>
      <c r="U48" s="3542"/>
      <c r="V48" s="3542">
        <f>IF(F1="售价",ROUND(PRODUCT(V47,AC7:AC46),0),ROUND(PRODUCT(V47,AC7:AC46),1))</f>
        <v>45712</v>
      </c>
      <c r="W48" s="3542"/>
      <c r="X48" s="1554"/>
      <c r="Y48" s="1554"/>
      <c r="Z48" s="1554"/>
      <c r="AA48" s="1554"/>
      <c r="AB48" s="1554"/>
      <c r="AC48" s="1554"/>
    </row>
    <row r="49" spans="1:29" ht="33" customHeight="1" thickBot="1">
      <c r="A49" s="617" t="s">
        <v>2929</v>
      </c>
      <c r="B49" s="618"/>
      <c r="C49" s="2655">
        <f>R49</f>
        <v>50595</v>
      </c>
      <c r="D49" s="2655"/>
      <c r="E49" s="2655"/>
      <c r="F49" s="2655"/>
      <c r="G49" s="2655"/>
      <c r="H49" s="2655"/>
      <c r="I49" s="2655"/>
      <c r="J49" s="2655"/>
      <c r="K49" s="1603"/>
      <c r="L49" s="2139"/>
      <c r="M49" s="2140"/>
      <c r="N49" s="2140"/>
      <c r="O49" s="2140"/>
      <c r="P49" s="3484" t="str">
        <f>A49</f>
        <v>估价对象XX用房的比较价格（楼面单价，元/平方米）</v>
      </c>
      <c r="Q49" s="3485"/>
      <c r="R49" s="3541">
        <f>IF(F1="售价",ROUND(AVERAGE(R48:V48),0),ROUND(AVERAGE(R48:V48),1))</f>
        <v>50595</v>
      </c>
      <c r="S49" s="3541"/>
      <c r="T49" s="3541"/>
      <c r="U49" s="3541"/>
      <c r="V49" s="3541"/>
      <c r="W49" s="3541"/>
      <c r="X49" s="1554"/>
      <c r="Y49" s="1554"/>
      <c r="Z49" s="1554"/>
      <c r="AA49" s="1554"/>
      <c r="AB49" s="1554"/>
      <c r="AC49" s="1554"/>
    </row>
    <row r="50" spans="1:29">
      <c r="A50" s="2140"/>
      <c r="B50" s="2140"/>
      <c r="C50" s="2140"/>
      <c r="D50" s="2140"/>
      <c r="E50" s="2140"/>
      <c r="F50" s="2140"/>
      <c r="G50" s="2143"/>
      <c r="H50" s="2140"/>
      <c r="I50" s="2140"/>
      <c r="J50" s="2140"/>
      <c r="K50" s="2144"/>
      <c r="L50" s="2145"/>
      <c r="M50" s="2140"/>
      <c r="N50" s="2140"/>
      <c r="O50" s="2140"/>
      <c r="P50" s="2140"/>
      <c r="Q50" s="2140"/>
      <c r="R50" s="2140"/>
      <c r="S50" s="2140"/>
      <c r="T50" s="2140"/>
      <c r="U50" s="2140"/>
      <c r="V50" s="2140"/>
      <c r="W50" s="2140"/>
      <c r="X50" s="2140"/>
      <c r="Y50" s="2140"/>
      <c r="Z50" s="2140"/>
      <c r="AA50" s="2140"/>
      <c r="AB50" s="2140"/>
      <c r="AC50" s="2140"/>
    </row>
    <row r="51" spans="1:29">
      <c r="A51" s="2140"/>
      <c r="B51" s="2140"/>
      <c r="C51" s="2140"/>
      <c r="D51" s="2140"/>
      <c r="E51" s="2140"/>
      <c r="F51" s="2140"/>
      <c r="G51" s="2140"/>
      <c r="H51" s="2140"/>
      <c r="I51" s="2140"/>
      <c r="J51" s="2140"/>
      <c r="K51" s="2144"/>
      <c r="L51" s="2145"/>
      <c r="M51" s="2140"/>
      <c r="N51" s="2140"/>
      <c r="O51" s="2140"/>
      <c r="P51" s="2140"/>
      <c r="Q51" s="2140"/>
      <c r="R51" s="2140"/>
      <c r="S51" s="2140"/>
      <c r="T51" s="2140"/>
      <c r="U51" s="2140"/>
      <c r="V51" s="2140"/>
      <c r="W51" s="2140"/>
      <c r="X51" s="2140"/>
      <c r="Y51" s="2140"/>
      <c r="Z51" s="2140"/>
      <c r="AA51" s="2140"/>
      <c r="AB51" s="2140"/>
      <c r="AC51" s="2140"/>
    </row>
    <row r="52" spans="1:29" ht="13.5" customHeight="1">
      <c r="A52" s="2140"/>
      <c r="B52" s="2140"/>
      <c r="C52" s="620" t="s">
        <v>551</v>
      </c>
      <c r="D52" s="621"/>
      <c r="E52" s="622">
        <f>IF(E47&lt;E48,E48/E47-1,E47/E48-1)</f>
        <v>0.24591836734693873</v>
      </c>
      <c r="F52" s="623" t="str">
        <f>IF(OR(E52&gt;=0.3,E52&lt;=-0.3),"超过30%","")</f>
        <v/>
      </c>
      <c r="G52" s="622">
        <f>IF(G47&lt;G48,G48/G47-1,G47/G48-1)</f>
        <v>0.27186588921282806</v>
      </c>
      <c r="H52" s="623" t="str">
        <f>IF(OR(G52&gt;=0.3,G52&lt;=-0.3),"超过30%","")</f>
        <v/>
      </c>
      <c r="I52" s="622">
        <f>IF(I47&lt;I48,I48/I47-1,I47/I48-1)</f>
        <v>3.6553287981859306E-2</v>
      </c>
      <c r="J52" s="623" t="str">
        <f>IF(OR(I52&gt;=0.3,I52&lt;=-0.3),"超过30%","")</f>
        <v/>
      </c>
      <c r="K52" s="2144"/>
      <c r="L52" s="2145"/>
      <c r="M52" s="2140"/>
      <c r="N52" s="2140"/>
      <c r="O52" s="2140"/>
      <c r="P52" s="2140"/>
      <c r="Q52" s="2140"/>
      <c r="R52" s="2140"/>
      <c r="S52" s="2140"/>
      <c r="T52" s="2140"/>
      <c r="U52" s="2140"/>
      <c r="V52" s="2140"/>
      <c r="W52" s="2140"/>
      <c r="X52" s="2140"/>
      <c r="Y52" s="2140"/>
      <c r="Z52" s="2140"/>
      <c r="AA52" s="2140"/>
      <c r="AB52" s="2140"/>
      <c r="AC52" s="2140"/>
    </row>
    <row r="53" spans="1:29" ht="13.5" customHeight="1">
      <c r="A53" s="2140"/>
      <c r="B53" s="2140"/>
      <c r="C53" s="620" t="s">
        <v>552</v>
      </c>
      <c r="D53" s="624"/>
      <c r="E53" s="622">
        <f>IF(E48&lt;G48,G48/E48-1,E48/G48-1)</f>
        <v>2.6246418338108812E-2</v>
      </c>
      <c r="F53" s="623" t="str">
        <f>IF(OR(E53&gt;=0.2,E53&lt;=-0.2),"超过20%","")</f>
        <v/>
      </c>
      <c r="G53" s="622">
        <f>IF(G48&lt;I48,I48/G48-1,G48/I48-1)</f>
        <v>0.14521351067553367</v>
      </c>
      <c r="H53" s="623" t="str">
        <f>IF(OR(G53&gt;=0.2,G53&lt;=-0.2),"超过20%","")</f>
        <v/>
      </c>
      <c r="I53" s="622">
        <f>IF(I48&lt;E48,E48/I48-1,I48/E48-1)</f>
        <v>0.17527126356317813</v>
      </c>
      <c r="J53" s="623" t="str">
        <f>IF(OR(I53&gt;=0.2,I53&lt;=-0.2),"超过20%","")</f>
        <v/>
      </c>
      <c r="K53" s="2144"/>
      <c r="L53" s="2145"/>
      <c r="M53" s="2140"/>
      <c r="N53" s="2140"/>
      <c r="O53" s="2140"/>
      <c r="P53" s="2140"/>
      <c r="Q53" s="2140"/>
      <c r="R53" s="2140"/>
      <c r="S53" s="2140"/>
      <c r="T53" s="2140"/>
      <c r="U53" s="2140"/>
      <c r="V53" s="2140"/>
      <c r="W53" s="2140"/>
      <c r="X53" s="2140"/>
      <c r="Y53" s="2140"/>
      <c r="Z53" s="2140"/>
      <c r="AA53" s="2140"/>
      <c r="AB53" s="2140"/>
      <c r="AC53" s="2140"/>
    </row>
    <row r="54" spans="1:29" s="1340" customFormat="1" ht="13.5" customHeight="1">
      <c r="A54" s="2141"/>
      <c r="B54" s="2141"/>
      <c r="C54" s="620" t="s">
        <v>553</v>
      </c>
      <c r="D54" s="624"/>
      <c r="E54" s="622">
        <f>IF(E47&lt;G47,G47/E47-1,E47/G47-1)</f>
        <v>4.7619047619047672E-2</v>
      </c>
      <c r="F54" s="623" t="str">
        <f>IF(OR(E54&gt;=0.3,E54&lt;=-0.3),"超过30%","")</f>
        <v/>
      </c>
      <c r="G54" s="622">
        <f>IF(G47&lt;I47,I47/G47-1,G47/I47-1)</f>
        <v>7.1428571428571397E-2</v>
      </c>
      <c r="H54" s="623" t="str">
        <f>IF(OR(G54&gt;=0.3,G54&lt;=-0.3),"超过30%","")</f>
        <v/>
      </c>
      <c r="I54" s="622">
        <f>IF(I47&lt;E47,E47/I47-1,I47/E47-1)</f>
        <v>2.2727272727272707E-2</v>
      </c>
      <c r="J54" s="623" t="str">
        <f>IF(OR(I54&gt;=0.3,I54&lt;=-0.3),"超过30%","")</f>
        <v/>
      </c>
      <c r="K54" s="2147"/>
      <c r="L54" s="2148"/>
      <c r="M54" s="2141"/>
      <c r="N54" s="2141"/>
      <c r="O54" s="2141"/>
      <c r="P54" s="2141"/>
      <c r="Q54" s="2141"/>
      <c r="R54" s="2141"/>
      <c r="S54" s="2141"/>
      <c r="T54" s="2141"/>
      <c r="U54" s="2141"/>
      <c r="V54" s="2141"/>
      <c r="W54" s="2141"/>
      <c r="X54" s="2141"/>
      <c r="Y54" s="2141"/>
      <c r="Z54" s="2141"/>
      <c r="AA54" s="2141"/>
      <c r="AB54" s="2141"/>
      <c r="AC54" s="2141"/>
    </row>
    <row r="55" spans="1:29" s="1340" customFormat="1">
      <c r="A55" s="2141"/>
      <c r="B55" s="2142"/>
      <c r="C55" s="2146"/>
      <c r="D55" s="2141"/>
      <c r="E55" s="2141"/>
      <c r="F55" s="2141"/>
      <c r="G55" s="2141"/>
      <c r="H55" s="2141"/>
      <c r="I55" s="2141"/>
      <c r="J55" s="2141"/>
      <c r="K55" s="2147"/>
      <c r="L55" s="2148"/>
      <c r="M55" s="2141"/>
      <c r="N55" s="2141"/>
      <c r="O55" s="2141"/>
      <c r="P55" s="2141"/>
      <c r="Q55" s="2141"/>
      <c r="R55" s="2141"/>
      <c r="S55" s="2141"/>
      <c r="T55" s="2141"/>
      <c r="U55" s="2141"/>
      <c r="V55" s="2141"/>
      <c r="W55" s="2141"/>
      <c r="X55" s="2141"/>
      <c r="Y55" s="2141"/>
      <c r="Z55" s="2141"/>
      <c r="AA55" s="2141"/>
      <c r="AB55" s="2141"/>
      <c r="AC55" s="2141"/>
    </row>
    <row r="56" spans="1:29">
      <c r="A56" s="2140"/>
      <c r="B56" s="2142"/>
      <c r="C56" s="2146"/>
      <c r="D56" s="2142"/>
      <c r="E56" s="2142"/>
      <c r="F56" s="2142"/>
      <c r="G56" s="2142"/>
      <c r="H56" s="2142"/>
      <c r="I56" s="2142"/>
      <c r="J56" s="2142"/>
      <c r="K56" s="2142"/>
      <c r="L56" s="2142"/>
      <c r="M56" s="2142"/>
      <c r="N56" s="2142"/>
      <c r="O56" s="2142"/>
      <c r="P56" s="2140"/>
      <c r="Q56" s="2140"/>
      <c r="R56" s="2140"/>
      <c r="S56" s="2140"/>
      <c r="T56" s="2140"/>
      <c r="U56" s="2140"/>
      <c r="V56" s="2140"/>
      <c r="W56" s="2140"/>
      <c r="X56" s="2140"/>
      <c r="Y56" s="2140"/>
      <c r="Z56" s="2140"/>
      <c r="AA56" s="2140"/>
      <c r="AB56" s="2140"/>
      <c r="AC56" s="2140"/>
    </row>
    <row r="57" spans="1:29" ht="21.75" thickBot="1">
      <c r="A57" s="1579" t="s">
        <v>568</v>
      </c>
      <c r="B57" s="1554"/>
      <c r="C57" s="1578"/>
      <c r="D57" s="1578"/>
      <c r="E57" s="1578"/>
      <c r="F57" s="1580"/>
      <c r="G57" s="1580"/>
      <c r="H57" s="1578"/>
      <c r="I57" s="1578"/>
      <c r="J57" s="1578"/>
      <c r="K57" s="1581"/>
      <c r="L57" s="1577"/>
      <c r="M57" s="1578"/>
      <c r="N57" s="1578"/>
      <c r="O57" s="1578"/>
      <c r="P57" s="2152"/>
      <c r="Q57" s="2153"/>
      <c r="R57" s="2140"/>
      <c r="S57" s="2140"/>
      <c r="T57" s="2140"/>
      <c r="U57" s="2140"/>
      <c r="V57" s="2140"/>
      <c r="W57" s="2140"/>
      <c r="X57" s="2140"/>
      <c r="Y57" s="2140"/>
      <c r="Z57" s="2140"/>
      <c r="AA57" s="2140"/>
      <c r="AB57" s="2140"/>
      <c r="AC57" s="2140"/>
    </row>
    <row r="58" spans="1:29" s="1342" customFormat="1" ht="15">
      <c r="A58" s="641" t="s">
        <v>523</v>
      </c>
      <c r="B58" s="642"/>
      <c r="C58" s="2825" t="str">
        <f>YEAR(C7)&amp;"-"&amp;MONTH(C7)</f>
        <v>2017-10</v>
      </c>
      <c r="D58" s="2825">
        <f>EDATE(C58,-1)</f>
        <v>42979</v>
      </c>
      <c r="E58" s="2825">
        <f t="shared" ref="E58:O58" si="16">EDATE(D58,-1)</f>
        <v>42948</v>
      </c>
      <c r="F58" s="2825">
        <f t="shared" si="16"/>
        <v>42917</v>
      </c>
      <c r="G58" s="2825">
        <f t="shared" si="16"/>
        <v>42887</v>
      </c>
      <c r="H58" s="2825">
        <f t="shared" si="16"/>
        <v>42856</v>
      </c>
      <c r="I58" s="2825">
        <f t="shared" si="16"/>
        <v>42826</v>
      </c>
      <c r="J58" s="2825">
        <f t="shared" si="16"/>
        <v>42795</v>
      </c>
      <c r="K58" s="2825">
        <f t="shared" si="16"/>
        <v>42767</v>
      </c>
      <c r="L58" s="2825">
        <f t="shared" si="16"/>
        <v>42736</v>
      </c>
      <c r="M58" s="2825">
        <f t="shared" si="16"/>
        <v>42705</v>
      </c>
      <c r="N58" s="2825">
        <f t="shared" si="16"/>
        <v>42675</v>
      </c>
      <c r="O58" s="2825">
        <f t="shared" si="16"/>
        <v>42644</v>
      </c>
      <c r="P58" s="2155"/>
      <c r="Q58" s="2156"/>
      <c r="R58" s="2156"/>
      <c r="S58" s="2156"/>
      <c r="T58" s="2156"/>
      <c r="U58" s="2156"/>
      <c r="V58" s="2156"/>
      <c r="W58" s="2156"/>
      <c r="X58" s="2156"/>
      <c r="Y58" s="2156"/>
      <c r="Z58" s="2156"/>
      <c r="AA58" s="2156"/>
      <c r="AB58" s="2156"/>
      <c r="AC58" s="2156"/>
    </row>
    <row r="59" spans="1:29" s="1215" customFormat="1" ht="15">
      <c r="A59" s="643"/>
      <c r="B59" s="644"/>
      <c r="C59" s="645">
        <v>100</v>
      </c>
      <c r="D59" s="726">
        <v>99.8</v>
      </c>
      <c r="E59" s="726">
        <v>99.6</v>
      </c>
      <c r="F59" s="726">
        <v>99.4</v>
      </c>
      <c r="G59" s="726">
        <v>99.2</v>
      </c>
      <c r="H59" s="726">
        <v>99</v>
      </c>
      <c r="I59" s="726">
        <v>98.8</v>
      </c>
      <c r="J59" s="726">
        <v>98.6</v>
      </c>
      <c r="K59" s="726">
        <v>98.4</v>
      </c>
      <c r="L59" s="726">
        <v>98.2</v>
      </c>
      <c r="M59" s="2813">
        <v>98</v>
      </c>
      <c r="N59" s="646"/>
      <c r="O59" s="646"/>
      <c r="P59" s="2153"/>
      <c r="Q59" s="1988"/>
      <c r="R59" s="1988"/>
      <c r="S59" s="1988"/>
      <c r="T59" s="1988"/>
      <c r="U59" s="1988"/>
      <c r="V59" s="1988"/>
      <c r="W59" s="1988"/>
      <c r="X59" s="1988"/>
      <c r="Y59" s="1988"/>
      <c r="Z59" s="1988"/>
      <c r="AA59" s="1988"/>
      <c r="AB59" s="1988"/>
      <c r="AC59" s="1988"/>
    </row>
    <row r="60" spans="1:29" s="1215" customFormat="1" ht="15.75" thickBot="1">
      <c r="A60" s="649" t="s">
        <v>569</v>
      </c>
      <c r="B60" s="650"/>
      <c r="C60" s="651"/>
      <c r="D60" s="652"/>
      <c r="E60" s="652"/>
      <c r="F60" s="652"/>
      <c r="G60" s="652"/>
      <c r="H60" s="652"/>
      <c r="I60" s="652"/>
      <c r="J60" s="652"/>
      <c r="K60" s="652"/>
      <c r="L60" s="652"/>
      <c r="M60" s="653"/>
      <c r="N60" s="652"/>
      <c r="O60" s="654">
        <v>0.98</v>
      </c>
      <c r="P60" s="2153"/>
      <c r="Q60" s="2153"/>
      <c r="R60" s="1988"/>
      <c r="S60" s="1988"/>
      <c r="T60" s="1988"/>
      <c r="U60" s="1988"/>
      <c r="V60" s="1988"/>
      <c r="W60" s="1988"/>
      <c r="X60" s="1988"/>
      <c r="Y60" s="1988"/>
      <c r="Z60" s="1988"/>
      <c r="AA60" s="1988"/>
      <c r="AB60" s="1988"/>
      <c r="AC60" s="1988"/>
    </row>
    <row r="61" spans="1:29" s="1215" customFormat="1" ht="15">
      <c r="A61" s="655" t="s">
        <v>525</v>
      </c>
      <c r="B61" s="644"/>
      <c r="C61" s="656" t="s">
        <v>570</v>
      </c>
      <c r="D61" s="657"/>
      <c r="E61" s="657"/>
      <c r="F61" s="657"/>
      <c r="G61" s="657"/>
      <c r="H61" s="657"/>
      <c r="I61" s="657"/>
      <c r="J61" s="657"/>
      <c r="K61" s="657"/>
      <c r="L61" s="658"/>
      <c r="M61" s="659"/>
      <c r="N61" s="2157"/>
      <c r="O61" s="2157"/>
      <c r="P61" s="2158"/>
      <c r="Q61" s="2153"/>
      <c r="R61" s="1988"/>
      <c r="S61" s="1988"/>
      <c r="T61" s="1988"/>
      <c r="U61" s="1988"/>
      <c r="V61" s="1988"/>
      <c r="W61" s="1988"/>
      <c r="X61" s="1988"/>
      <c r="Y61" s="1988"/>
      <c r="Z61" s="1988"/>
      <c r="AA61" s="1988"/>
      <c r="AB61" s="1988"/>
      <c r="AC61" s="1988"/>
    </row>
    <row r="62" spans="1:29" s="1215" customFormat="1" ht="15.75" thickBot="1">
      <c r="A62" s="655"/>
      <c r="B62" s="644"/>
      <c r="C62" s="884">
        <v>100</v>
      </c>
      <c r="D62" s="646"/>
      <c r="E62" s="646"/>
      <c r="F62" s="646"/>
      <c r="G62" s="646"/>
      <c r="H62" s="646"/>
      <c r="I62" s="646"/>
      <c r="J62" s="646"/>
      <c r="K62" s="646"/>
      <c r="L62" s="646"/>
      <c r="M62" s="648"/>
      <c r="N62" s="2157"/>
      <c r="O62" s="2157"/>
      <c r="P62" s="2153"/>
      <c r="Q62" s="2153"/>
      <c r="R62" s="1988"/>
      <c r="S62" s="1988"/>
      <c r="T62" s="1988"/>
      <c r="U62" s="1988"/>
      <c r="V62" s="1988"/>
      <c r="W62" s="1988"/>
      <c r="X62" s="1988"/>
      <c r="Y62" s="1988"/>
      <c r="Z62" s="1988"/>
      <c r="AA62" s="1988"/>
      <c r="AB62" s="1988"/>
      <c r="AC62" s="1988"/>
    </row>
    <row r="63" spans="1:29">
      <c r="A63" s="660" t="s">
        <v>571</v>
      </c>
      <c r="B63" s="661" t="s">
        <v>528</v>
      </c>
      <c r="C63" s="700" t="str">
        <f>C9</f>
        <v>住宅</v>
      </c>
      <c r="D63" s="594"/>
      <c r="E63" s="594"/>
      <c r="F63" s="594"/>
      <c r="G63" s="594"/>
      <c r="H63" s="594"/>
      <c r="I63" s="594"/>
      <c r="J63" s="594"/>
      <c r="K63" s="662"/>
      <c r="L63" s="663"/>
      <c r="M63" s="664"/>
      <c r="N63" s="2159"/>
      <c r="O63" s="2159"/>
      <c r="P63" s="2160"/>
      <c r="Q63" s="2153"/>
      <c r="R63" s="2140"/>
      <c r="S63" s="2140"/>
      <c r="T63" s="2140"/>
      <c r="U63" s="2140"/>
      <c r="V63" s="2140"/>
      <c r="W63" s="2140"/>
      <c r="X63" s="2140"/>
      <c r="Y63" s="2140"/>
      <c r="Z63" s="2140"/>
      <c r="AA63" s="2140"/>
      <c r="AB63" s="2140"/>
      <c r="AC63" s="2140"/>
    </row>
    <row r="64" spans="1:29" ht="15.75" thickBot="1">
      <c r="A64" s="665"/>
      <c r="B64" s="666"/>
      <c r="C64" s="667"/>
      <c r="D64" s="667"/>
      <c r="E64" s="1604"/>
      <c r="F64" s="1604"/>
      <c r="G64" s="1604"/>
      <c r="H64" s="1604"/>
      <c r="I64" s="1604"/>
      <c r="J64" s="1604"/>
      <c r="K64" s="1604"/>
      <c r="L64" s="1604"/>
      <c r="M64" s="1605"/>
      <c r="N64" s="2161"/>
      <c r="O64" s="2161"/>
      <c r="P64" s="2160"/>
      <c r="Q64" s="2153"/>
      <c r="R64" s="2140"/>
      <c r="S64" s="2140"/>
      <c r="T64" s="2140"/>
      <c r="U64" s="2140"/>
      <c r="V64" s="2140"/>
      <c r="W64" s="2140"/>
      <c r="X64" s="2140"/>
      <c r="Y64" s="2140"/>
      <c r="Z64" s="2140"/>
      <c r="AA64" s="2140"/>
      <c r="AB64" s="2140"/>
      <c r="AC64" s="2140"/>
    </row>
    <row r="65" spans="1:29" ht="27.75" thickTop="1">
      <c r="A65" s="665"/>
      <c r="B65" s="669" t="s">
        <v>531</v>
      </c>
      <c r="C65" s="670" t="s">
        <v>730</v>
      </c>
      <c r="D65" s="670" t="s">
        <v>731</v>
      </c>
      <c r="E65" s="670" t="s">
        <v>732</v>
      </c>
      <c r="F65" s="670" t="s">
        <v>733</v>
      </c>
      <c r="G65" s="670" t="s">
        <v>734</v>
      </c>
      <c r="H65" s="670" t="s">
        <v>735</v>
      </c>
      <c r="I65" s="670" t="s">
        <v>736</v>
      </c>
      <c r="J65" s="670"/>
      <c r="K65" s="671"/>
      <c r="L65" s="672"/>
      <c r="M65" s="673"/>
      <c r="N65" s="2159"/>
      <c r="O65" s="2159"/>
      <c r="P65" s="2160"/>
      <c r="Q65" s="2153"/>
      <c r="R65" s="2140"/>
      <c r="S65" s="2140"/>
      <c r="T65" s="2140"/>
      <c r="U65" s="2140"/>
      <c r="V65" s="2140"/>
      <c r="W65" s="2140"/>
      <c r="X65" s="2140"/>
      <c r="Y65" s="2140"/>
      <c r="Z65" s="2140"/>
      <c r="AA65" s="2140"/>
      <c r="AB65" s="2140"/>
      <c r="AC65" s="2140"/>
    </row>
    <row r="66" spans="1:29" ht="15.75" thickBot="1">
      <c r="A66" s="665"/>
      <c r="B66" s="674"/>
      <c r="C66" s="675">
        <v>100</v>
      </c>
      <c r="D66" s="675">
        <f t="shared" ref="D66:I66" si="17">C66-$K10</f>
        <v>99</v>
      </c>
      <c r="E66" s="675">
        <f t="shared" si="17"/>
        <v>98</v>
      </c>
      <c r="F66" s="675">
        <f t="shared" si="17"/>
        <v>97</v>
      </c>
      <c r="G66" s="675">
        <f t="shared" si="17"/>
        <v>96</v>
      </c>
      <c r="H66" s="675">
        <f t="shared" si="17"/>
        <v>95</v>
      </c>
      <c r="I66" s="675">
        <f t="shared" si="17"/>
        <v>94</v>
      </c>
      <c r="J66" s="675"/>
      <c r="K66" s="675"/>
      <c r="L66" s="675"/>
      <c r="M66" s="676"/>
      <c r="N66" s="2161"/>
      <c r="O66" s="2161"/>
      <c r="P66" s="2160"/>
      <c r="Q66" s="2153"/>
      <c r="R66" s="2140"/>
      <c r="S66" s="2140"/>
      <c r="T66" s="2140"/>
      <c r="U66" s="2140"/>
      <c r="V66" s="2140"/>
      <c r="W66" s="2140"/>
      <c r="X66" s="2140"/>
      <c r="Y66" s="2140"/>
      <c r="Z66" s="2140"/>
      <c r="AA66" s="2140"/>
      <c r="AB66" s="2140"/>
      <c r="AC66" s="2140"/>
    </row>
    <row r="67" spans="1:29" ht="15.75" thickTop="1">
      <c r="A67" s="665"/>
      <c r="B67" s="677" t="s">
        <v>532</v>
      </c>
      <c r="C67" s="678" t="str">
        <f>C68&amp;"（含）"&amp;"-"&amp;D68</f>
        <v>0（含）-1</v>
      </c>
      <c r="D67" s="678" t="str">
        <f t="shared" ref="D67:L67" si="18">D68&amp;"（含）"&amp;"-"&amp;E68</f>
        <v>1（含）-2</v>
      </c>
      <c r="E67" s="678" t="str">
        <f t="shared" si="18"/>
        <v>2（含）-3</v>
      </c>
      <c r="F67" s="678" t="str">
        <f t="shared" si="18"/>
        <v>3（含）-4</v>
      </c>
      <c r="G67" s="678" t="str">
        <f t="shared" si="18"/>
        <v>4（含）-5</v>
      </c>
      <c r="H67" s="678" t="str">
        <f t="shared" si="18"/>
        <v>5（含）-</v>
      </c>
      <c r="I67" s="678" t="str">
        <f t="shared" si="18"/>
        <v>（含）-</v>
      </c>
      <c r="J67" s="678" t="str">
        <f t="shared" si="18"/>
        <v>（含）-</v>
      </c>
      <c r="K67" s="678" t="str">
        <f t="shared" si="18"/>
        <v>（含）-</v>
      </c>
      <c r="L67" s="678" t="str">
        <f t="shared" si="18"/>
        <v>（含）-</v>
      </c>
      <c r="M67" s="551" t="str">
        <f>M68&amp;"（含）"&amp;"-"&amp;P68</f>
        <v>（含）-</v>
      </c>
      <c r="N67" s="2161"/>
      <c r="O67" s="2161"/>
      <c r="P67" s="2160"/>
      <c r="Q67" s="2153"/>
      <c r="R67" s="2140"/>
      <c r="S67" s="2140"/>
      <c r="T67" s="2140"/>
      <c r="U67" s="2140"/>
      <c r="V67" s="2140"/>
      <c r="W67" s="2140"/>
      <c r="X67" s="2140"/>
      <c r="Y67" s="2140"/>
      <c r="Z67" s="2140"/>
      <c r="AA67" s="2140"/>
      <c r="AB67" s="2140"/>
      <c r="AC67" s="2140"/>
    </row>
    <row r="68" spans="1:29" ht="15">
      <c r="A68" s="665"/>
      <c r="B68" s="679"/>
      <c r="C68" s="537">
        <v>0</v>
      </c>
      <c r="D68" s="537">
        <v>1</v>
      </c>
      <c r="E68" s="537">
        <v>2</v>
      </c>
      <c r="F68" s="537">
        <v>3</v>
      </c>
      <c r="G68" s="537">
        <v>4</v>
      </c>
      <c r="H68" s="537">
        <v>5</v>
      </c>
      <c r="I68" s="537"/>
      <c r="J68" s="537"/>
      <c r="K68" s="680"/>
      <c r="L68" s="681"/>
      <c r="M68" s="682"/>
      <c r="N68" s="2159"/>
      <c r="O68" s="2159"/>
      <c r="P68" s="2160"/>
      <c r="Q68" s="2153"/>
      <c r="R68" s="2140"/>
      <c r="S68" s="2140"/>
      <c r="T68" s="2140"/>
      <c r="U68" s="2140"/>
      <c r="V68" s="2140"/>
      <c r="W68" s="2140"/>
      <c r="X68" s="2140"/>
      <c r="Y68" s="2140"/>
      <c r="Z68" s="2140"/>
      <c r="AA68" s="2140"/>
      <c r="AB68" s="2140"/>
      <c r="AC68" s="2140"/>
    </row>
    <row r="69" spans="1:29" ht="15.75" thickBot="1">
      <c r="A69" s="665"/>
      <c r="B69" s="666"/>
      <c r="C69" s="675">
        <v>100</v>
      </c>
      <c r="D69" s="675">
        <f t="shared" ref="D69:M69" si="19">C69-$K11</f>
        <v>99</v>
      </c>
      <c r="E69" s="675">
        <f t="shared" si="19"/>
        <v>98</v>
      </c>
      <c r="F69" s="675">
        <f t="shared" si="19"/>
        <v>97</v>
      </c>
      <c r="G69" s="675">
        <f t="shared" si="19"/>
        <v>96</v>
      </c>
      <c r="H69" s="675">
        <f t="shared" si="19"/>
        <v>95</v>
      </c>
      <c r="I69" s="675">
        <f t="shared" si="19"/>
        <v>94</v>
      </c>
      <c r="J69" s="675">
        <f t="shared" si="19"/>
        <v>93</v>
      </c>
      <c r="K69" s="675">
        <f t="shared" si="19"/>
        <v>92</v>
      </c>
      <c r="L69" s="675">
        <f t="shared" si="19"/>
        <v>91</v>
      </c>
      <c r="M69" s="676">
        <f t="shared" si="19"/>
        <v>90</v>
      </c>
      <c r="N69" s="2161"/>
      <c r="O69" s="2161"/>
      <c r="P69" s="2160"/>
      <c r="Q69" s="2153"/>
      <c r="R69" s="2140"/>
      <c r="S69" s="2140"/>
      <c r="T69" s="2140"/>
      <c r="U69" s="2140"/>
      <c r="V69" s="2140"/>
      <c r="W69" s="2140"/>
      <c r="X69" s="2140"/>
      <c r="Y69" s="2140"/>
      <c r="Z69" s="2140"/>
      <c r="AA69" s="2140"/>
      <c r="AB69" s="2140"/>
      <c r="AC69" s="2140"/>
    </row>
    <row r="70" spans="1:29" s="1334" customFormat="1" ht="15.75" thickTop="1">
      <c r="A70" s="683"/>
      <c r="B70" s="669">
        <f>B12</f>
        <v>111</v>
      </c>
      <c r="C70" s="684"/>
      <c r="D70" s="684"/>
      <c r="E70" s="684"/>
      <c r="F70" s="684"/>
      <c r="G70" s="684"/>
      <c r="H70" s="685"/>
      <c r="I70" s="685"/>
      <c r="J70" s="685"/>
      <c r="K70" s="685"/>
      <c r="L70" s="686"/>
      <c r="M70" s="687"/>
      <c r="N70" s="2162"/>
      <c r="O70" s="2162"/>
      <c r="P70" s="2163"/>
      <c r="Q70" s="2164"/>
      <c r="R70" s="2165"/>
      <c r="S70" s="2165"/>
      <c r="T70" s="2165"/>
      <c r="U70" s="2165"/>
      <c r="V70" s="2165"/>
      <c r="W70" s="2165"/>
      <c r="X70" s="2165"/>
      <c r="Y70" s="2165"/>
      <c r="Z70" s="2165"/>
      <c r="AA70" s="2165"/>
      <c r="AB70" s="2165"/>
      <c r="AC70" s="2165"/>
    </row>
    <row r="71" spans="1:29" s="1334" customFormat="1" ht="15.75" thickBot="1">
      <c r="A71" s="683"/>
      <c r="B71" s="674"/>
      <c r="C71" s="688"/>
      <c r="D71" s="667"/>
      <c r="E71" s="667"/>
      <c r="F71" s="667"/>
      <c r="G71" s="667"/>
      <c r="H71" s="667"/>
      <c r="I71" s="667"/>
      <c r="J71" s="667"/>
      <c r="K71" s="667"/>
      <c r="L71" s="667"/>
      <c r="M71" s="668"/>
      <c r="N71" s="2161"/>
      <c r="O71" s="2161"/>
      <c r="P71" s="2163"/>
      <c r="Q71" s="2164"/>
      <c r="R71" s="2165"/>
      <c r="S71" s="2165"/>
      <c r="T71" s="2165"/>
      <c r="U71" s="2165"/>
      <c r="V71" s="2165"/>
      <c r="W71" s="2165"/>
      <c r="X71" s="2165"/>
      <c r="Y71" s="2165"/>
      <c r="Z71" s="2165"/>
      <c r="AA71" s="2165"/>
      <c r="AB71" s="2165"/>
      <c r="AC71" s="2165"/>
    </row>
    <row r="72" spans="1:29" s="1334" customFormat="1" ht="15.75" thickTop="1">
      <c r="A72" s="683"/>
      <c r="B72" s="669">
        <f>B13</f>
        <v>111</v>
      </c>
      <c r="C72" s="684"/>
      <c r="D72" s="684"/>
      <c r="E72" s="684"/>
      <c r="F72" s="684"/>
      <c r="G72" s="684"/>
      <c r="H72" s="685"/>
      <c r="I72" s="685"/>
      <c r="J72" s="685"/>
      <c r="K72" s="685"/>
      <c r="L72" s="686"/>
      <c r="M72" s="687"/>
      <c r="N72" s="2162"/>
      <c r="O72" s="2162"/>
      <c r="P72" s="2166"/>
      <c r="Q72" s="2167"/>
      <c r="R72" s="2165"/>
      <c r="S72" s="2165"/>
      <c r="T72" s="2165"/>
      <c r="U72" s="2165"/>
      <c r="V72" s="2165"/>
      <c r="W72" s="2165"/>
      <c r="X72" s="2165"/>
      <c r="Y72" s="2165"/>
      <c r="Z72" s="2165"/>
      <c r="AA72" s="2165"/>
      <c r="AB72" s="2165"/>
      <c r="AC72" s="2165"/>
    </row>
    <row r="73" spans="1:29" s="1334" customFormat="1" ht="15.75" thickBot="1">
      <c r="A73" s="683"/>
      <c r="B73" s="674"/>
      <c r="C73" s="688"/>
      <c r="D73" s="688"/>
      <c r="E73" s="688"/>
      <c r="F73" s="688"/>
      <c r="G73" s="688"/>
      <c r="H73" s="689"/>
      <c r="I73" s="689"/>
      <c r="J73" s="689"/>
      <c r="K73" s="689"/>
      <c r="L73" s="689"/>
      <c r="M73" s="690"/>
      <c r="N73" s="2162"/>
      <c r="O73" s="2162"/>
      <c r="P73" s="2163"/>
      <c r="Q73" s="2164"/>
      <c r="R73" s="2165"/>
      <c r="S73" s="2165"/>
      <c r="T73" s="2165"/>
      <c r="U73" s="2165"/>
      <c r="V73" s="2165"/>
      <c r="W73" s="2165"/>
      <c r="X73" s="2165"/>
      <c r="Y73" s="2165"/>
      <c r="Z73" s="2165"/>
      <c r="AA73" s="2165"/>
      <c r="AB73" s="2165"/>
      <c r="AC73" s="2165"/>
    </row>
    <row r="74" spans="1:29" s="1334" customFormat="1" ht="15.75" thickTop="1">
      <c r="A74" s="683"/>
      <c r="B74" s="677">
        <f>B14</f>
        <v>111</v>
      </c>
      <c r="C74" s="684"/>
      <c r="D74" s="684"/>
      <c r="E74" s="684"/>
      <c r="F74" s="684"/>
      <c r="G74" s="657"/>
      <c r="H74" s="691"/>
      <c r="I74" s="691"/>
      <c r="J74" s="691"/>
      <c r="K74" s="691"/>
      <c r="L74" s="692"/>
      <c r="M74" s="693"/>
      <c r="N74" s="2162"/>
      <c r="O74" s="2162"/>
      <c r="P74" s="2168"/>
      <c r="Q74" s="2164"/>
      <c r="R74" s="2165"/>
      <c r="S74" s="2165"/>
      <c r="T74" s="2165"/>
      <c r="U74" s="2165"/>
      <c r="V74" s="2165"/>
      <c r="W74" s="2165"/>
      <c r="X74" s="2165"/>
      <c r="Y74" s="2165"/>
      <c r="Z74" s="2165"/>
      <c r="AA74" s="2165"/>
      <c r="AB74" s="2165"/>
      <c r="AC74" s="2165"/>
    </row>
    <row r="75" spans="1:29" s="1334" customFormat="1" ht="15.75" thickBot="1">
      <c r="A75" s="694"/>
      <c r="B75" s="695"/>
      <c r="C75" s="696"/>
      <c r="D75" s="696"/>
      <c r="E75" s="696"/>
      <c r="F75" s="696"/>
      <c r="G75" s="696"/>
      <c r="H75" s="697"/>
      <c r="I75" s="697"/>
      <c r="J75" s="697"/>
      <c r="K75" s="697"/>
      <c r="L75" s="697"/>
      <c r="M75" s="698"/>
      <c r="N75" s="2162"/>
      <c r="O75" s="2162"/>
      <c r="P75" s="2163"/>
      <c r="Q75" s="2164"/>
      <c r="R75" s="2165"/>
      <c r="S75" s="2165"/>
      <c r="T75" s="2165"/>
      <c r="U75" s="2165"/>
      <c r="V75" s="2165"/>
      <c r="W75" s="2165"/>
      <c r="X75" s="2165"/>
      <c r="Y75" s="2165"/>
      <c r="Z75" s="2165"/>
      <c r="AA75" s="2165"/>
      <c r="AB75" s="2165"/>
      <c r="AC75" s="2165"/>
    </row>
    <row r="76" spans="1:29">
      <c r="A76" s="660" t="s">
        <v>533</v>
      </c>
      <c r="B76" s="661" t="s">
        <v>572</v>
      </c>
      <c r="C76" s="699" t="s">
        <v>573</v>
      </c>
      <c r="D76" s="699" t="s">
        <v>574</v>
      </c>
      <c r="E76" s="699" t="s">
        <v>575</v>
      </c>
      <c r="F76" s="699" t="s">
        <v>576</v>
      </c>
      <c r="G76" s="699" t="s">
        <v>577</v>
      </c>
      <c r="H76" s="700"/>
      <c r="I76" s="700"/>
      <c r="J76" s="700"/>
      <c r="K76" s="701"/>
      <c r="L76" s="702"/>
      <c r="M76" s="703"/>
      <c r="N76" s="2159"/>
      <c r="O76" s="2159"/>
      <c r="P76" s="2169"/>
      <c r="Q76" s="2153"/>
      <c r="R76" s="2140"/>
      <c r="S76" s="2140"/>
      <c r="T76" s="2140"/>
      <c r="U76" s="2140"/>
      <c r="V76" s="2140"/>
      <c r="W76" s="2140"/>
      <c r="X76" s="2140"/>
      <c r="Y76" s="2140"/>
      <c r="Z76" s="2140"/>
      <c r="AA76" s="2140"/>
      <c r="AB76" s="2140"/>
      <c r="AC76" s="2140"/>
    </row>
    <row r="77" spans="1:29" ht="15.75" thickBot="1">
      <c r="A77" s="665"/>
      <c r="B77" s="674"/>
      <c r="C77" s="675">
        <v>100</v>
      </c>
      <c r="D77" s="675">
        <f>C77-$K15</f>
        <v>95</v>
      </c>
      <c r="E77" s="675">
        <f>D77-$K15</f>
        <v>90</v>
      </c>
      <c r="F77" s="675">
        <f>E77-$K15</f>
        <v>85</v>
      </c>
      <c r="G77" s="675">
        <f>F77-$K15</f>
        <v>80</v>
      </c>
      <c r="H77" s="675"/>
      <c r="I77" s="675"/>
      <c r="J77" s="675"/>
      <c r="K77" s="675"/>
      <c r="L77" s="675"/>
      <c r="M77" s="676"/>
      <c r="N77" s="2161"/>
      <c r="O77" s="2161"/>
      <c r="P77" s="2160"/>
      <c r="Q77" s="2153"/>
      <c r="R77" s="2140"/>
      <c r="S77" s="2140"/>
      <c r="T77" s="2140"/>
      <c r="U77" s="2140"/>
      <c r="V77" s="2140"/>
      <c r="W77" s="2140"/>
      <c r="X77" s="2140"/>
      <c r="Y77" s="2140"/>
      <c r="Z77" s="2140"/>
      <c r="AA77" s="2140"/>
      <c r="AB77" s="2140"/>
      <c r="AC77" s="2140"/>
    </row>
    <row r="78" spans="1:29" ht="15.75" thickTop="1">
      <c r="A78" s="665"/>
      <c r="B78" s="669" t="s">
        <v>580</v>
      </c>
      <c r="C78" s="704" t="s">
        <v>573</v>
      </c>
      <c r="D78" s="704" t="s">
        <v>574</v>
      </c>
      <c r="E78" s="704" t="s">
        <v>575</v>
      </c>
      <c r="F78" s="704" t="s">
        <v>576</v>
      </c>
      <c r="G78" s="704" t="s">
        <v>577</v>
      </c>
      <c r="H78" s="670"/>
      <c r="I78" s="670"/>
      <c r="J78" s="670"/>
      <c r="K78" s="671"/>
      <c r="L78" s="672"/>
      <c r="M78" s="673"/>
      <c r="N78" s="2159"/>
      <c r="O78" s="2159"/>
      <c r="P78" s="2160"/>
      <c r="Q78" s="2153"/>
      <c r="R78" s="2140"/>
      <c r="S78" s="2140"/>
      <c r="T78" s="2140"/>
      <c r="U78" s="2140"/>
      <c r="V78" s="2140"/>
      <c r="W78" s="2140"/>
      <c r="X78" s="2140"/>
      <c r="Y78" s="2140"/>
      <c r="Z78" s="2140"/>
      <c r="AA78" s="2140"/>
      <c r="AB78" s="2140"/>
      <c r="AC78" s="2140"/>
    </row>
    <row r="79" spans="1:29" ht="15.75" thickBot="1">
      <c r="A79" s="665"/>
      <c r="B79" s="674"/>
      <c r="C79" s="675">
        <v>100</v>
      </c>
      <c r="D79" s="675">
        <f>C79-$K17</f>
        <v>98</v>
      </c>
      <c r="E79" s="675">
        <f>D79-$K17</f>
        <v>96</v>
      </c>
      <c r="F79" s="675">
        <f>E79-$K17</f>
        <v>94</v>
      </c>
      <c r="G79" s="675">
        <f>F79-$K17</f>
        <v>92</v>
      </c>
      <c r="H79" s="675"/>
      <c r="I79" s="675"/>
      <c r="J79" s="675"/>
      <c r="K79" s="675"/>
      <c r="L79" s="675"/>
      <c r="M79" s="676"/>
      <c r="N79" s="2161"/>
      <c r="O79" s="2161"/>
      <c r="P79" s="2160"/>
      <c r="Q79" s="2153"/>
      <c r="R79" s="2140"/>
      <c r="S79" s="2140"/>
      <c r="T79" s="2140"/>
      <c r="U79" s="2140"/>
      <c r="V79" s="2140"/>
      <c r="W79" s="2140"/>
      <c r="X79" s="2140"/>
      <c r="Y79" s="2140"/>
      <c r="Z79" s="2140"/>
      <c r="AA79" s="2140"/>
      <c r="AB79" s="2140"/>
      <c r="AC79" s="2140"/>
    </row>
    <row r="80" spans="1:29" ht="15.75" thickTop="1">
      <c r="A80" s="665"/>
      <c r="B80" s="1891" t="s">
        <v>2554</v>
      </c>
      <c r="C80" s="704" t="s">
        <v>573</v>
      </c>
      <c r="D80" s="704" t="s">
        <v>574</v>
      </c>
      <c r="E80" s="704" t="s">
        <v>575</v>
      </c>
      <c r="F80" s="704" t="s">
        <v>576</v>
      </c>
      <c r="G80" s="704" t="s">
        <v>577</v>
      </c>
      <c r="H80" s="670"/>
      <c r="I80" s="670"/>
      <c r="J80" s="670"/>
      <c r="K80" s="671"/>
      <c r="L80" s="672"/>
      <c r="M80" s="673"/>
      <c r="N80" s="2159"/>
      <c r="O80" s="2159"/>
      <c r="P80" s="2160"/>
      <c r="Q80" s="2153"/>
      <c r="R80" s="2140"/>
      <c r="S80" s="2140"/>
      <c r="T80" s="2140"/>
      <c r="U80" s="2140"/>
      <c r="V80" s="2140"/>
      <c r="W80" s="2140"/>
      <c r="X80" s="2140"/>
      <c r="Y80" s="2140"/>
      <c r="Z80" s="2140"/>
      <c r="AA80" s="2140"/>
      <c r="AB80" s="2140"/>
      <c r="AC80" s="2140"/>
    </row>
    <row r="81" spans="1:29" ht="15.75" thickBot="1">
      <c r="A81" s="665"/>
      <c r="B81" s="674"/>
      <c r="C81" s="675">
        <v>100</v>
      </c>
      <c r="D81" s="675">
        <f>C81-$K19</f>
        <v>98</v>
      </c>
      <c r="E81" s="675">
        <f>D81-$K19</f>
        <v>96</v>
      </c>
      <c r="F81" s="675">
        <f>E81-$K19</f>
        <v>94</v>
      </c>
      <c r="G81" s="675">
        <f>F81-$K19</f>
        <v>92</v>
      </c>
      <c r="H81" s="675"/>
      <c r="I81" s="675"/>
      <c r="J81" s="675"/>
      <c r="K81" s="675"/>
      <c r="L81" s="675"/>
      <c r="M81" s="676"/>
      <c r="N81" s="2161"/>
      <c r="O81" s="2161"/>
      <c r="P81" s="2160"/>
      <c r="Q81" s="2153"/>
      <c r="R81" s="2140"/>
      <c r="S81" s="2140"/>
      <c r="T81" s="2140"/>
      <c r="U81" s="2140"/>
      <c r="V81" s="2140"/>
      <c r="W81" s="2140"/>
      <c r="X81" s="2140"/>
      <c r="Y81" s="2140"/>
      <c r="Z81" s="2140"/>
      <c r="AA81" s="2140"/>
      <c r="AB81" s="2140"/>
      <c r="AC81" s="2140"/>
    </row>
    <row r="82" spans="1:29" ht="15.75" thickTop="1">
      <c r="A82" s="665"/>
      <c r="B82" s="2616" t="s">
        <v>2555</v>
      </c>
      <c r="C82" s="2617" t="s">
        <v>2556</v>
      </c>
      <c r="D82" s="2617" t="s">
        <v>2557</v>
      </c>
      <c r="E82" s="2617" t="s">
        <v>2558</v>
      </c>
      <c r="F82" s="2617" t="s">
        <v>2559</v>
      </c>
      <c r="G82" s="2617" t="s">
        <v>2560</v>
      </c>
      <c r="H82" s="670"/>
      <c r="I82" s="670"/>
      <c r="J82" s="670"/>
      <c r="K82" s="670"/>
      <c r="L82" s="670"/>
      <c r="M82" s="2620"/>
      <c r="N82" s="2161"/>
      <c r="O82" s="2161"/>
      <c r="P82" s="2160"/>
      <c r="Q82" s="2153"/>
      <c r="R82" s="2140"/>
      <c r="S82" s="2140"/>
      <c r="T82" s="2140"/>
      <c r="U82" s="2140"/>
      <c r="V82" s="2140"/>
      <c r="W82" s="2140"/>
      <c r="X82" s="2140"/>
      <c r="Y82" s="2140"/>
      <c r="Z82" s="2140"/>
      <c r="AA82" s="2140"/>
      <c r="AB82" s="2140"/>
      <c r="AC82" s="2140"/>
    </row>
    <row r="83" spans="1:29" ht="15.75" thickBot="1">
      <c r="A83" s="665"/>
      <c r="B83" s="677"/>
      <c r="C83" s="675">
        <v>100</v>
      </c>
      <c r="D83" s="675">
        <f>C83-$K21</f>
        <v>99</v>
      </c>
      <c r="E83" s="675">
        <f>D83-$K21</f>
        <v>98</v>
      </c>
      <c r="F83" s="675">
        <f>E83-$K21</f>
        <v>97</v>
      </c>
      <c r="G83" s="675">
        <f>F83-$K21</f>
        <v>96</v>
      </c>
      <c r="H83" s="930"/>
      <c r="I83" s="930"/>
      <c r="J83" s="930"/>
      <c r="K83" s="930"/>
      <c r="L83" s="930"/>
      <c r="M83" s="555"/>
      <c r="N83" s="2161"/>
      <c r="O83" s="2161"/>
      <c r="P83" s="2160"/>
      <c r="Q83" s="2153"/>
      <c r="R83" s="2140"/>
      <c r="S83" s="2140"/>
      <c r="T83" s="2140"/>
      <c r="U83" s="2140"/>
      <c r="V83" s="2140"/>
      <c r="W83" s="2140"/>
      <c r="X83" s="2140"/>
      <c r="Y83" s="2140"/>
      <c r="Z83" s="2140"/>
      <c r="AA83" s="2140"/>
      <c r="AB83" s="2140"/>
      <c r="AC83" s="2140"/>
    </row>
    <row r="84" spans="1:29" ht="15.75" thickTop="1">
      <c r="A84" s="665"/>
      <c r="B84" s="669" t="s">
        <v>737</v>
      </c>
      <c r="C84" s="704" t="s">
        <v>573</v>
      </c>
      <c r="D84" s="704" t="s">
        <v>574</v>
      </c>
      <c r="E84" s="704" t="s">
        <v>575</v>
      </c>
      <c r="F84" s="704" t="s">
        <v>576</v>
      </c>
      <c r="G84" s="704" t="s">
        <v>577</v>
      </c>
      <c r="H84" s="670"/>
      <c r="I84" s="670"/>
      <c r="J84" s="670"/>
      <c r="K84" s="671"/>
      <c r="L84" s="672"/>
      <c r="M84" s="673"/>
      <c r="N84" s="2159"/>
      <c r="O84" s="2159"/>
      <c r="P84" s="2160"/>
      <c r="Q84" s="2153"/>
      <c r="R84" s="2140"/>
      <c r="S84" s="2140"/>
      <c r="T84" s="2140"/>
      <c r="U84" s="2140"/>
      <c r="V84" s="2140"/>
      <c r="W84" s="2140"/>
      <c r="X84" s="2140"/>
      <c r="Y84" s="2140"/>
      <c r="Z84" s="2140"/>
      <c r="AA84" s="2140"/>
      <c r="AB84" s="2140"/>
      <c r="AC84" s="2140"/>
    </row>
    <row r="85" spans="1:29" ht="15.75" thickBot="1">
      <c r="A85" s="665"/>
      <c r="B85" s="674"/>
      <c r="C85" s="675">
        <v>100</v>
      </c>
      <c r="D85" s="675">
        <f>C85-$K23</f>
        <v>98</v>
      </c>
      <c r="E85" s="675">
        <f>D85-$K23</f>
        <v>96</v>
      </c>
      <c r="F85" s="675">
        <f>E85-$K23</f>
        <v>94</v>
      </c>
      <c r="G85" s="675">
        <f>F85-$K23</f>
        <v>92</v>
      </c>
      <c r="H85" s="675"/>
      <c r="I85" s="675"/>
      <c r="J85" s="675"/>
      <c r="K85" s="675"/>
      <c r="L85" s="675"/>
      <c r="M85" s="676"/>
      <c r="N85" s="2161"/>
      <c r="O85" s="2161"/>
      <c r="P85" s="2160"/>
      <c r="Q85" s="2153"/>
      <c r="R85" s="2140"/>
      <c r="S85" s="2140"/>
      <c r="T85" s="2140"/>
      <c r="U85" s="2140"/>
      <c r="V85" s="2140"/>
      <c r="W85" s="2140"/>
      <c r="X85" s="2140"/>
      <c r="Y85" s="2140"/>
      <c r="Z85" s="2140"/>
      <c r="AA85" s="2140"/>
      <c r="AB85" s="2140"/>
      <c r="AC85" s="2140"/>
    </row>
    <row r="86" spans="1:29" s="1215" customFormat="1" ht="15.75" thickTop="1">
      <c r="A86" s="705"/>
      <c r="B86" s="1891" t="s">
        <v>2252</v>
      </c>
      <c r="C86" s="684"/>
      <c r="D86" s="684"/>
      <c r="E86" s="684"/>
      <c r="F86" s="684"/>
      <c r="G86" s="684"/>
      <c r="H86" s="684"/>
      <c r="I86" s="684"/>
      <c r="J86" s="684"/>
      <c r="K86" s="684"/>
      <c r="L86" s="885"/>
      <c r="M86" s="886"/>
      <c r="N86" s="2157"/>
      <c r="O86" s="2157"/>
      <c r="P86" s="2160"/>
      <c r="Q86" s="2153"/>
      <c r="R86" s="1988"/>
      <c r="S86" s="1988"/>
      <c r="T86" s="1988"/>
      <c r="U86" s="1988"/>
      <c r="V86" s="1988"/>
      <c r="W86" s="1988"/>
      <c r="X86" s="1988"/>
      <c r="Y86" s="1988"/>
      <c r="Z86" s="1988"/>
      <c r="AA86" s="1988"/>
      <c r="AB86" s="1988"/>
      <c r="AC86" s="1988"/>
    </row>
    <row r="87" spans="1:29" s="1215" customFormat="1" ht="15.75" thickBot="1">
      <c r="A87" s="705"/>
      <c r="B87" s="674"/>
      <c r="C87" s="708">
        <v>100</v>
      </c>
      <c r="D87" s="675">
        <f>$C$87-($C$86-D86)*$K$25</f>
        <v>100</v>
      </c>
      <c r="E87" s="675">
        <f t="shared" ref="E87:M87" si="20">$C$87-($C$86-E86)*$K$25</f>
        <v>100</v>
      </c>
      <c r="F87" s="675">
        <f t="shared" si="20"/>
        <v>100</v>
      </c>
      <c r="G87" s="675">
        <f t="shared" si="20"/>
        <v>100</v>
      </c>
      <c r="H87" s="675">
        <f t="shared" si="20"/>
        <v>100</v>
      </c>
      <c r="I87" s="675">
        <f t="shared" si="20"/>
        <v>100</v>
      </c>
      <c r="J87" s="675">
        <f t="shared" si="20"/>
        <v>100</v>
      </c>
      <c r="K87" s="675">
        <f t="shared" si="20"/>
        <v>100</v>
      </c>
      <c r="L87" s="675">
        <f t="shared" si="20"/>
        <v>100</v>
      </c>
      <c r="M87" s="675">
        <f t="shared" si="20"/>
        <v>100</v>
      </c>
      <c r="N87" s="2161"/>
      <c r="O87" s="2161"/>
      <c r="P87" s="2160"/>
      <c r="Q87" s="2153"/>
      <c r="R87" s="1988"/>
      <c r="S87" s="1988"/>
      <c r="T87" s="1988"/>
      <c r="U87" s="1988"/>
      <c r="V87" s="1988"/>
      <c r="W87" s="1988"/>
      <c r="X87" s="1988"/>
      <c r="Y87" s="1988"/>
      <c r="Z87" s="1988"/>
      <c r="AA87" s="1988"/>
      <c r="AB87" s="1988"/>
      <c r="AC87" s="1988"/>
    </row>
    <row r="88" spans="1:29" s="1215" customFormat="1" ht="15.75" thickTop="1">
      <c r="A88" s="705"/>
      <c r="B88" s="669" t="s">
        <v>739</v>
      </c>
      <c r="C88" s="684"/>
      <c r="D88" s="684"/>
      <c r="E88" s="684"/>
      <c r="F88" s="887"/>
      <c r="G88" s="684"/>
      <c r="H88" s="684"/>
      <c r="I88" s="684"/>
      <c r="J88" s="684"/>
      <c r="K88" s="684"/>
      <c r="L88" s="684"/>
      <c r="M88" s="886"/>
      <c r="N88" s="2157"/>
      <c r="O88" s="2157"/>
      <c r="P88" s="2160"/>
      <c r="Q88" s="2153"/>
      <c r="R88" s="1988"/>
      <c r="S88" s="1988"/>
      <c r="T88" s="1988"/>
      <c r="U88" s="1988"/>
      <c r="V88" s="1988"/>
      <c r="W88" s="1988"/>
      <c r="X88" s="1988"/>
      <c r="Y88" s="1988"/>
      <c r="Z88" s="1988"/>
      <c r="AA88" s="1988"/>
      <c r="AB88" s="1988"/>
      <c r="AC88" s="1988"/>
    </row>
    <row r="89" spans="1:29" s="1215" customFormat="1" ht="15.75" thickBot="1">
      <c r="A89" s="705"/>
      <c r="B89" s="674"/>
      <c r="C89" s="708">
        <v>100</v>
      </c>
      <c r="D89" s="675">
        <f t="shared" ref="D89:M89" si="21">C89-$K26</f>
        <v>100</v>
      </c>
      <c r="E89" s="675">
        <f t="shared" si="21"/>
        <v>100</v>
      </c>
      <c r="F89" s="675">
        <f t="shared" si="21"/>
        <v>100</v>
      </c>
      <c r="G89" s="675">
        <f t="shared" si="21"/>
        <v>100</v>
      </c>
      <c r="H89" s="675">
        <f t="shared" si="21"/>
        <v>100</v>
      </c>
      <c r="I89" s="675">
        <f t="shared" si="21"/>
        <v>100</v>
      </c>
      <c r="J89" s="675">
        <f t="shared" si="21"/>
        <v>100</v>
      </c>
      <c r="K89" s="675">
        <f t="shared" si="21"/>
        <v>100</v>
      </c>
      <c r="L89" s="675">
        <f t="shared" si="21"/>
        <v>100</v>
      </c>
      <c r="M89" s="675">
        <f t="shared" si="21"/>
        <v>100</v>
      </c>
      <c r="N89" s="2161"/>
      <c r="O89" s="2161"/>
      <c r="P89" s="2160"/>
      <c r="Q89" s="2153"/>
      <c r="R89" s="1988"/>
      <c r="S89" s="1988"/>
      <c r="T89" s="1988"/>
      <c r="U89" s="1988"/>
      <c r="V89" s="1988"/>
      <c r="W89" s="1988"/>
      <c r="X89" s="1988"/>
      <c r="Y89" s="1988"/>
      <c r="Z89" s="1988"/>
      <c r="AA89" s="1988"/>
      <c r="AB89" s="1988"/>
      <c r="AC89" s="1988"/>
    </row>
    <row r="90" spans="1:29" s="1334" customFormat="1" ht="15.75" thickTop="1">
      <c r="A90" s="683"/>
      <c r="B90" s="669" t="str">
        <f>B27</f>
        <v>道路级别</v>
      </c>
      <c r="C90" s="684" t="s">
        <v>3010</v>
      </c>
      <c r="D90" s="684" t="s">
        <v>3011</v>
      </c>
      <c r="E90" s="684" t="s">
        <v>3012</v>
      </c>
      <c r="F90" s="684" t="s">
        <v>3013</v>
      </c>
      <c r="G90" s="684" t="s">
        <v>3014</v>
      </c>
      <c r="H90" s="685"/>
      <c r="I90" s="685"/>
      <c r="J90" s="685"/>
      <c r="K90" s="685"/>
      <c r="L90" s="686"/>
      <c r="M90" s="687"/>
      <c r="N90" s="2162"/>
      <c r="O90" s="2162"/>
      <c r="P90" s="2163"/>
      <c r="Q90" s="2164"/>
      <c r="R90" s="2165"/>
      <c r="S90" s="2165"/>
      <c r="T90" s="2165"/>
      <c r="U90" s="2165"/>
      <c r="V90" s="2165"/>
      <c r="W90" s="2165"/>
      <c r="X90" s="2165"/>
      <c r="Y90" s="2165"/>
      <c r="Z90" s="2165"/>
      <c r="AA90" s="2165"/>
      <c r="AB90" s="2165"/>
      <c r="AC90" s="2165"/>
    </row>
    <row r="91" spans="1:29" s="1334" customFormat="1" ht="15.75" thickBot="1">
      <c r="A91" s="683"/>
      <c r="B91" s="674"/>
      <c r="C91" s="688">
        <v>100</v>
      </c>
      <c r="D91" s="688">
        <v>99</v>
      </c>
      <c r="E91" s="688">
        <v>98</v>
      </c>
      <c r="F91" s="688">
        <v>97</v>
      </c>
      <c r="G91" s="688">
        <v>96</v>
      </c>
      <c r="H91" s="689"/>
      <c r="I91" s="689"/>
      <c r="J91" s="689"/>
      <c r="K91" s="689"/>
      <c r="L91" s="689"/>
      <c r="M91" s="690"/>
      <c r="N91" s="2162"/>
      <c r="O91" s="2162"/>
      <c r="P91" s="2163"/>
      <c r="Q91" s="2164"/>
      <c r="R91" s="2165"/>
      <c r="S91" s="2165"/>
      <c r="T91" s="2165"/>
      <c r="U91" s="2165"/>
      <c r="V91" s="2165"/>
      <c r="W91" s="2165"/>
      <c r="X91" s="2165"/>
      <c r="Y91" s="2165"/>
      <c r="Z91" s="2165"/>
      <c r="AA91" s="2165"/>
      <c r="AB91" s="2165"/>
      <c r="AC91" s="2165"/>
    </row>
    <row r="92" spans="1:29" ht="15.75" thickTop="1">
      <c r="A92" s="665"/>
      <c r="B92" s="669">
        <f>B28</f>
        <v>111</v>
      </c>
      <c r="C92" s="684"/>
      <c r="D92" s="684"/>
      <c r="E92" s="684"/>
      <c r="F92" s="684"/>
      <c r="G92" s="714"/>
      <c r="H92" s="714"/>
      <c r="I92" s="714"/>
      <c r="J92" s="714"/>
      <c r="K92" s="715"/>
      <c r="L92" s="716"/>
      <c r="M92" s="717"/>
      <c r="N92" s="2159"/>
      <c r="O92" s="2159"/>
      <c r="P92" s="2160"/>
      <c r="Q92" s="2153"/>
      <c r="R92" s="2140"/>
      <c r="S92" s="2140"/>
      <c r="T92" s="2140"/>
      <c r="U92" s="2140"/>
      <c r="V92" s="2140"/>
      <c r="W92" s="2140"/>
      <c r="X92" s="2140"/>
      <c r="Y92" s="2140"/>
      <c r="Z92" s="2140"/>
      <c r="AA92" s="2140"/>
      <c r="AB92" s="2140"/>
      <c r="AC92" s="2140"/>
    </row>
    <row r="93" spans="1:29" ht="15.75" thickBot="1">
      <c r="A93" s="665"/>
      <c r="B93" s="674"/>
      <c r="C93" s="688"/>
      <c r="D93" s="667"/>
      <c r="E93" s="667"/>
      <c r="F93" s="667"/>
      <c r="G93" s="667"/>
      <c r="H93" s="667"/>
      <c r="I93" s="667"/>
      <c r="J93" s="667"/>
      <c r="K93" s="667"/>
      <c r="L93" s="667"/>
      <c r="M93" s="668"/>
      <c r="N93" s="2161"/>
      <c r="O93" s="2161"/>
      <c r="P93" s="2160"/>
      <c r="Q93" s="2153"/>
      <c r="R93" s="2140"/>
      <c r="S93" s="2140"/>
      <c r="T93" s="2140"/>
      <c r="U93" s="2140"/>
      <c r="V93" s="2140"/>
      <c r="W93" s="2140"/>
      <c r="X93" s="2140"/>
      <c r="Y93" s="2140"/>
      <c r="Z93" s="2140"/>
      <c r="AA93" s="2140"/>
      <c r="AB93" s="2140"/>
      <c r="AC93" s="2140"/>
    </row>
    <row r="94" spans="1:29" ht="15.75" thickTop="1">
      <c r="A94" s="665"/>
      <c r="B94" s="669">
        <f>B29</f>
        <v>111</v>
      </c>
      <c r="C94" s="684"/>
      <c r="D94" s="684"/>
      <c r="E94" s="684"/>
      <c r="F94" s="684"/>
      <c r="G94" s="714"/>
      <c r="H94" s="714"/>
      <c r="I94" s="714"/>
      <c r="J94" s="714"/>
      <c r="K94" s="715"/>
      <c r="L94" s="716"/>
      <c r="M94" s="717"/>
      <c r="N94" s="2159"/>
      <c r="O94" s="2159"/>
      <c r="P94" s="2160"/>
      <c r="Q94" s="2153"/>
      <c r="R94" s="2140"/>
      <c r="S94" s="2140"/>
      <c r="T94" s="2140"/>
      <c r="U94" s="2140"/>
      <c r="V94" s="2140"/>
      <c r="W94" s="2140"/>
      <c r="X94" s="2140"/>
      <c r="Y94" s="2140"/>
      <c r="Z94" s="2140"/>
      <c r="AA94" s="2140"/>
      <c r="AB94" s="2140"/>
      <c r="AC94" s="2140"/>
    </row>
    <row r="95" spans="1:29" ht="15.75" thickBot="1">
      <c r="A95" s="665"/>
      <c r="B95" s="674"/>
      <c r="C95" s="688"/>
      <c r="D95" s="688"/>
      <c r="E95" s="688"/>
      <c r="F95" s="688"/>
      <c r="G95" s="667"/>
      <c r="H95" s="667"/>
      <c r="I95" s="667"/>
      <c r="J95" s="667"/>
      <c r="K95" s="667"/>
      <c r="L95" s="667"/>
      <c r="M95" s="668"/>
      <c r="N95" s="2161"/>
      <c r="O95" s="2161"/>
      <c r="P95" s="2160"/>
      <c r="Q95" s="2153"/>
      <c r="R95" s="2140"/>
      <c r="S95" s="2140"/>
      <c r="T95" s="2140"/>
      <c r="U95" s="2140"/>
      <c r="V95" s="2140"/>
      <c r="W95" s="2140"/>
      <c r="X95" s="2140"/>
      <c r="Y95" s="2140"/>
      <c r="Z95" s="2140"/>
      <c r="AA95" s="2140"/>
      <c r="AB95" s="2140"/>
      <c r="AC95" s="2140"/>
    </row>
    <row r="96" spans="1:29" ht="15.75" thickTop="1">
      <c r="A96" s="665"/>
      <c r="B96" s="669">
        <f>B30</f>
        <v>111</v>
      </c>
      <c r="C96" s="684"/>
      <c r="D96" s="684"/>
      <c r="E96" s="684"/>
      <c r="F96" s="684"/>
      <c r="G96" s="714"/>
      <c r="H96" s="714"/>
      <c r="I96" s="714"/>
      <c r="J96" s="714"/>
      <c r="K96" s="715"/>
      <c r="L96" s="716"/>
      <c r="M96" s="717"/>
      <c r="N96" s="2159"/>
      <c r="O96" s="2159"/>
      <c r="P96" s="2160"/>
      <c r="Q96" s="2153"/>
      <c r="R96" s="2140"/>
      <c r="S96" s="2140"/>
      <c r="T96" s="2140"/>
      <c r="U96" s="2140"/>
      <c r="V96" s="2140"/>
      <c r="W96" s="2140"/>
      <c r="X96" s="2140"/>
      <c r="Y96" s="2140"/>
      <c r="Z96" s="2140"/>
      <c r="AA96" s="2140"/>
      <c r="AB96" s="2140"/>
      <c r="AC96" s="2140"/>
    </row>
    <row r="97" spans="1:29" ht="15.75" thickBot="1">
      <c r="A97" s="665"/>
      <c r="B97" s="674"/>
      <c r="C97" s="696"/>
      <c r="D97" s="696"/>
      <c r="E97" s="696"/>
      <c r="F97" s="696"/>
      <c r="G97" s="667"/>
      <c r="H97" s="667"/>
      <c r="I97" s="667"/>
      <c r="J97" s="667"/>
      <c r="K97" s="667"/>
      <c r="L97" s="667"/>
      <c r="M97" s="668"/>
      <c r="N97" s="2161"/>
      <c r="O97" s="2161"/>
      <c r="P97" s="2160"/>
      <c r="Q97" s="2153"/>
      <c r="R97" s="2140"/>
      <c r="S97" s="2140"/>
      <c r="T97" s="2140"/>
      <c r="U97" s="2140"/>
      <c r="V97" s="2140"/>
      <c r="W97" s="2140"/>
      <c r="X97" s="2140"/>
      <c r="Y97" s="2140"/>
      <c r="Z97" s="2140"/>
      <c r="AA97" s="2140"/>
      <c r="AB97" s="2140"/>
      <c r="AC97" s="2140"/>
    </row>
    <row r="98" spans="1:29" ht="15.75" thickTop="1">
      <c r="A98" s="665"/>
      <c r="B98" s="677">
        <f>B31</f>
        <v>111</v>
      </c>
      <c r="C98" s="718"/>
      <c r="D98" s="718"/>
      <c r="E98" s="718"/>
      <c r="F98" s="718"/>
      <c r="G98" s="718"/>
      <c r="H98" s="718"/>
      <c r="I98" s="718"/>
      <c r="J98" s="718"/>
      <c r="K98" s="719"/>
      <c r="L98" s="720"/>
      <c r="M98" s="721"/>
      <c r="N98" s="2159"/>
      <c r="O98" s="2159"/>
      <c r="P98" s="2160"/>
      <c r="Q98" s="2153"/>
      <c r="R98" s="2140"/>
      <c r="S98" s="2140"/>
      <c r="T98" s="2140"/>
      <c r="U98" s="2140"/>
      <c r="V98" s="2140"/>
      <c r="W98" s="2140"/>
      <c r="X98" s="2140"/>
      <c r="Y98" s="2140"/>
      <c r="Z98" s="2140"/>
      <c r="AA98" s="2140"/>
      <c r="AB98" s="2140"/>
      <c r="AC98" s="2140"/>
    </row>
    <row r="99" spans="1:29" ht="15.75" thickBot="1">
      <c r="A99" s="888"/>
      <c r="B99" s="695"/>
      <c r="C99" s="722"/>
      <c r="D99" s="722"/>
      <c r="E99" s="722"/>
      <c r="F99" s="722"/>
      <c r="G99" s="722"/>
      <c r="H99" s="722"/>
      <c r="I99" s="722"/>
      <c r="J99" s="722"/>
      <c r="K99" s="722"/>
      <c r="L99" s="722"/>
      <c r="M99" s="723"/>
      <c r="N99" s="2161"/>
      <c r="O99" s="2161"/>
      <c r="P99" s="2160"/>
      <c r="Q99" s="2153"/>
      <c r="R99" s="2140"/>
      <c r="S99" s="2140"/>
      <c r="T99" s="2140"/>
      <c r="U99" s="2140"/>
      <c r="V99" s="2140"/>
      <c r="W99" s="2140"/>
      <c r="X99" s="2140"/>
      <c r="Y99" s="2140"/>
      <c r="Z99" s="2140"/>
      <c r="AA99" s="2140"/>
      <c r="AB99" s="2140"/>
      <c r="AC99" s="2140"/>
    </row>
    <row r="100" spans="1:29">
      <c r="A100" s="660" t="s">
        <v>545</v>
      </c>
      <c r="B100" s="661" t="s">
        <v>740</v>
      </c>
      <c r="C100" s="3157" t="s">
        <v>3233</v>
      </c>
      <c r="D100" s="3157" t="s">
        <v>3050</v>
      </c>
      <c r="E100" s="3157"/>
      <c r="F100" s="594"/>
      <c r="G100" s="594"/>
      <c r="H100" s="594"/>
      <c r="I100" s="594"/>
      <c r="J100" s="594"/>
      <c r="K100" s="662"/>
      <c r="L100" s="663"/>
      <c r="M100" s="664"/>
      <c r="N100" s="2159"/>
      <c r="O100" s="2159"/>
      <c r="P100" s="2160"/>
      <c r="Q100" s="2153"/>
      <c r="R100" s="2140"/>
      <c r="S100" s="2140"/>
      <c r="T100" s="2140"/>
      <c r="U100" s="2140"/>
      <c r="V100" s="2140"/>
      <c r="W100" s="2140"/>
      <c r="X100" s="2140"/>
      <c r="Y100" s="2140"/>
      <c r="Z100" s="2140"/>
      <c r="AA100" s="2140"/>
      <c r="AB100" s="2140"/>
      <c r="AC100" s="2140"/>
    </row>
    <row r="101" spans="1:29" ht="15.75" thickBot="1">
      <c r="A101" s="665"/>
      <c r="B101" s="674"/>
      <c r="C101" s="675">
        <v>100</v>
      </c>
      <c r="D101" s="675">
        <f t="shared" ref="D101:M101" si="22">C101-$K32</f>
        <v>90</v>
      </c>
      <c r="E101" s="675">
        <f t="shared" si="22"/>
        <v>80</v>
      </c>
      <c r="F101" s="675">
        <f t="shared" si="22"/>
        <v>70</v>
      </c>
      <c r="G101" s="675">
        <f t="shared" si="22"/>
        <v>60</v>
      </c>
      <c r="H101" s="675">
        <f t="shared" si="22"/>
        <v>50</v>
      </c>
      <c r="I101" s="675">
        <f t="shared" si="22"/>
        <v>40</v>
      </c>
      <c r="J101" s="675">
        <f t="shared" si="22"/>
        <v>30</v>
      </c>
      <c r="K101" s="675">
        <f t="shared" si="22"/>
        <v>20</v>
      </c>
      <c r="L101" s="675">
        <f t="shared" si="22"/>
        <v>10</v>
      </c>
      <c r="M101" s="675">
        <f t="shared" si="22"/>
        <v>0</v>
      </c>
      <c r="N101" s="2161"/>
      <c r="O101" s="2161"/>
      <c r="P101" s="2160"/>
      <c r="Q101" s="2153"/>
      <c r="R101" s="2140"/>
      <c r="S101" s="2140"/>
      <c r="T101" s="2140"/>
      <c r="U101" s="2140"/>
      <c r="V101" s="2140"/>
      <c r="W101" s="2140"/>
      <c r="X101" s="2140"/>
      <c r="Y101" s="2140"/>
      <c r="Z101" s="2140"/>
      <c r="AA101" s="2140"/>
      <c r="AB101" s="2140"/>
      <c r="AC101" s="2140"/>
    </row>
    <row r="102" spans="1:29" ht="29.25" thickTop="1">
      <c r="A102" s="665"/>
      <c r="B102" s="669" t="s">
        <v>741</v>
      </c>
      <c r="C102" s="704" t="str">
        <f>C103&amp;"(含)"&amp;"-"&amp;D103</f>
        <v>0(含)-100000</v>
      </c>
      <c r="D102" s="704" t="str">
        <f t="shared" ref="D102:L102" si="23">D103&amp;"(含)"&amp;"-"&amp;E103</f>
        <v>100000(含)-200000</v>
      </c>
      <c r="E102" s="704" t="str">
        <f t="shared" si="23"/>
        <v>200000(含)-300000</v>
      </c>
      <c r="F102" s="704" t="str">
        <f t="shared" si="23"/>
        <v>300000(含)-400000</v>
      </c>
      <c r="G102" s="704" t="str">
        <f t="shared" si="23"/>
        <v>400000(含)-500000</v>
      </c>
      <c r="H102" s="704" t="str">
        <f t="shared" si="23"/>
        <v>500000(含)-600000</v>
      </c>
      <c r="I102" s="704" t="str">
        <f t="shared" si="23"/>
        <v>600000(含)-</v>
      </c>
      <c r="J102" s="704" t="str">
        <f t="shared" si="23"/>
        <v>(含)-</v>
      </c>
      <c r="K102" s="704" t="str">
        <f t="shared" si="23"/>
        <v>(含)-</v>
      </c>
      <c r="L102" s="704" t="str">
        <f t="shared" si="23"/>
        <v>(含)-</v>
      </c>
      <c r="M102" s="704" t="str">
        <f>M103&amp;"(含)"&amp;"-"&amp;P103</f>
        <v>(含)-</v>
      </c>
      <c r="N102" s="2157"/>
      <c r="O102" s="2157"/>
      <c r="P102" s="2160"/>
      <c r="Q102" s="2153"/>
      <c r="R102" s="2140"/>
      <c r="S102" s="2140"/>
      <c r="T102" s="2140"/>
      <c r="U102" s="2140"/>
      <c r="V102" s="2140"/>
      <c r="W102" s="2140"/>
      <c r="X102" s="2140"/>
      <c r="Y102" s="2140"/>
      <c r="Z102" s="2140"/>
      <c r="AA102" s="2140"/>
      <c r="AB102" s="2140"/>
      <c r="AC102" s="2140"/>
    </row>
    <row r="103" spans="1:29" s="1334" customFormat="1">
      <c r="A103" s="724"/>
      <c r="B103" s="725"/>
      <c r="C103" s="726">
        <v>0</v>
      </c>
      <c r="D103" s="726">
        <v>100000</v>
      </c>
      <c r="E103" s="726">
        <v>200000</v>
      </c>
      <c r="F103" s="726">
        <v>300000</v>
      </c>
      <c r="G103" s="726">
        <v>400000</v>
      </c>
      <c r="H103" s="726">
        <v>500000</v>
      </c>
      <c r="I103" s="726">
        <v>600000</v>
      </c>
      <c r="J103" s="727"/>
      <c r="K103" s="727"/>
      <c r="L103" s="728"/>
      <c r="M103" s="729"/>
      <c r="N103" s="2162"/>
      <c r="O103" s="2162"/>
      <c r="P103" s="2163"/>
      <c r="Q103" s="2164"/>
      <c r="R103" s="2165"/>
      <c r="S103" s="2165"/>
      <c r="T103" s="2165"/>
      <c r="U103" s="2165"/>
      <c r="V103" s="2165"/>
      <c r="W103" s="2165"/>
      <c r="X103" s="2165"/>
      <c r="Y103" s="2165"/>
      <c r="Z103" s="2165"/>
      <c r="AA103" s="2165"/>
      <c r="AB103" s="2165"/>
      <c r="AC103" s="2165"/>
    </row>
    <row r="104" spans="1:29" s="1334" customFormat="1" ht="15.75" thickBot="1">
      <c r="A104" s="683"/>
      <c r="B104" s="674"/>
      <c r="C104" s="688">
        <v>100</v>
      </c>
      <c r="D104" s="667">
        <v>101</v>
      </c>
      <c r="E104" s="667">
        <v>102</v>
      </c>
      <c r="F104" s="667">
        <v>103</v>
      </c>
      <c r="G104" s="667">
        <v>104</v>
      </c>
      <c r="H104" s="667">
        <v>105</v>
      </c>
      <c r="I104" s="667">
        <v>106</v>
      </c>
      <c r="J104" s="667"/>
      <c r="K104" s="667"/>
      <c r="L104" s="667"/>
      <c r="M104" s="667"/>
      <c r="N104" s="2161"/>
      <c r="O104" s="2161"/>
      <c r="P104" s="2163"/>
      <c r="Q104" s="2164"/>
      <c r="R104" s="2165"/>
      <c r="S104" s="2165"/>
      <c r="T104" s="2165"/>
      <c r="U104" s="2165"/>
      <c r="V104" s="2165"/>
      <c r="W104" s="2165"/>
      <c r="X104" s="2165"/>
      <c r="Y104" s="2165"/>
      <c r="Z104" s="2165"/>
      <c r="AA104" s="2165"/>
      <c r="AB104" s="2165"/>
      <c r="AC104" s="2165"/>
    </row>
    <row r="105" spans="1:29" ht="15" thickTop="1">
      <c r="A105" s="731"/>
      <c r="B105" s="669" t="s">
        <v>742</v>
      </c>
      <c r="C105" s="684" t="s">
        <v>3068</v>
      </c>
      <c r="D105" s="714" t="s">
        <v>3069</v>
      </c>
      <c r="E105" s="714"/>
      <c r="F105" s="714"/>
      <c r="G105" s="714"/>
      <c r="H105" s="714"/>
      <c r="I105" s="714"/>
      <c r="J105" s="714"/>
      <c r="K105" s="715"/>
      <c r="L105" s="716"/>
      <c r="M105" s="717"/>
      <c r="N105" s="2159"/>
      <c r="O105" s="2159"/>
      <c r="P105" s="2160"/>
      <c r="Q105" s="2153"/>
      <c r="R105" s="2140"/>
      <c r="S105" s="2140"/>
      <c r="T105" s="2140"/>
      <c r="U105" s="2140"/>
      <c r="V105" s="2140"/>
      <c r="W105" s="2140"/>
      <c r="X105" s="2140"/>
      <c r="Y105" s="2140"/>
      <c r="Z105" s="2140"/>
      <c r="AA105" s="2140"/>
      <c r="AB105" s="2140"/>
      <c r="AC105" s="2140"/>
    </row>
    <row r="106" spans="1:29" ht="15.75" thickBot="1">
      <c r="A106" s="665"/>
      <c r="B106" s="674"/>
      <c r="C106" s="675">
        <v>100</v>
      </c>
      <c r="D106" s="675">
        <f t="shared" ref="D106:M106" si="24">C106-$K34</f>
        <v>99</v>
      </c>
      <c r="E106" s="675">
        <f t="shared" si="24"/>
        <v>98</v>
      </c>
      <c r="F106" s="675">
        <f t="shared" si="24"/>
        <v>97</v>
      </c>
      <c r="G106" s="675">
        <f t="shared" si="24"/>
        <v>96</v>
      </c>
      <c r="H106" s="675">
        <f t="shared" si="24"/>
        <v>95</v>
      </c>
      <c r="I106" s="675">
        <f t="shared" si="24"/>
        <v>94</v>
      </c>
      <c r="J106" s="675">
        <f t="shared" si="24"/>
        <v>93</v>
      </c>
      <c r="K106" s="675">
        <f t="shared" si="24"/>
        <v>92</v>
      </c>
      <c r="L106" s="675">
        <f t="shared" si="24"/>
        <v>91</v>
      </c>
      <c r="M106" s="675">
        <f t="shared" si="24"/>
        <v>90</v>
      </c>
      <c r="N106" s="2161"/>
      <c r="O106" s="2161"/>
      <c r="P106" s="2160"/>
      <c r="Q106" s="2153"/>
      <c r="R106" s="2140"/>
      <c r="S106" s="2140"/>
      <c r="T106" s="2140"/>
      <c r="U106" s="2140"/>
      <c r="V106" s="2140"/>
      <c r="W106" s="2140"/>
      <c r="X106" s="2140"/>
      <c r="Y106" s="2140"/>
      <c r="Z106" s="2140"/>
      <c r="AA106" s="2140"/>
      <c r="AB106" s="2140"/>
      <c r="AC106" s="2140"/>
    </row>
    <row r="107" spans="1:29" ht="15" thickTop="1">
      <c r="A107" s="731"/>
      <c r="B107" s="669" t="s">
        <v>743</v>
      </c>
      <c r="C107" s="714"/>
      <c r="D107" s="714"/>
      <c r="E107" s="714"/>
      <c r="F107" s="714"/>
      <c r="G107" s="714"/>
      <c r="H107" s="714"/>
      <c r="I107" s="714"/>
      <c r="J107" s="714"/>
      <c r="K107" s="715"/>
      <c r="L107" s="716"/>
      <c r="M107" s="717"/>
      <c r="N107" s="2159"/>
      <c r="O107" s="2159"/>
      <c r="P107" s="2160"/>
      <c r="Q107" s="2153"/>
      <c r="R107" s="2140"/>
      <c r="S107" s="2140"/>
      <c r="T107" s="2140"/>
      <c r="U107" s="2140"/>
      <c r="V107" s="2140"/>
      <c r="W107" s="2140"/>
      <c r="X107" s="2140"/>
      <c r="Y107" s="2140"/>
      <c r="Z107" s="2140"/>
      <c r="AA107" s="2140"/>
      <c r="AB107" s="2140"/>
      <c r="AC107" s="2140"/>
    </row>
    <row r="108" spans="1:29" ht="15.75" thickBot="1">
      <c r="A108" s="665"/>
      <c r="B108" s="674"/>
      <c r="C108" s="675">
        <v>100</v>
      </c>
      <c r="D108" s="675">
        <f t="shared" ref="D108:M108" si="25">C108-$K35</f>
        <v>100</v>
      </c>
      <c r="E108" s="675">
        <f t="shared" si="25"/>
        <v>100</v>
      </c>
      <c r="F108" s="675">
        <f t="shared" si="25"/>
        <v>100</v>
      </c>
      <c r="G108" s="675">
        <f t="shared" si="25"/>
        <v>100</v>
      </c>
      <c r="H108" s="675">
        <f t="shared" si="25"/>
        <v>100</v>
      </c>
      <c r="I108" s="675">
        <f t="shared" si="25"/>
        <v>100</v>
      </c>
      <c r="J108" s="675">
        <f t="shared" si="25"/>
        <v>100</v>
      </c>
      <c r="K108" s="675">
        <f t="shared" si="25"/>
        <v>100</v>
      </c>
      <c r="L108" s="675">
        <f t="shared" si="25"/>
        <v>100</v>
      </c>
      <c r="M108" s="675">
        <f t="shared" si="25"/>
        <v>100</v>
      </c>
      <c r="N108" s="2161"/>
      <c r="O108" s="2161"/>
      <c r="P108" s="2160"/>
      <c r="Q108" s="2153"/>
      <c r="R108" s="2140"/>
      <c r="S108" s="2140"/>
      <c r="T108" s="2140"/>
      <c r="U108" s="2140"/>
      <c r="V108" s="2140"/>
      <c r="W108" s="2140"/>
      <c r="X108" s="2140"/>
      <c r="Y108" s="2140"/>
      <c r="Z108" s="2140"/>
      <c r="AA108" s="2140"/>
      <c r="AB108" s="2140"/>
      <c r="AC108" s="2140"/>
    </row>
    <row r="109" spans="1:29" ht="15" thickTop="1">
      <c r="A109" s="731"/>
      <c r="B109" s="669" t="s">
        <v>744</v>
      </c>
      <c r="C109" s="684" t="s">
        <v>3052</v>
      </c>
      <c r="D109" s="684" t="s">
        <v>3053</v>
      </c>
      <c r="E109" s="684" t="s">
        <v>3054</v>
      </c>
      <c r="F109" s="714" t="s">
        <v>3055</v>
      </c>
      <c r="G109" s="714"/>
      <c r="H109" s="714"/>
      <c r="I109" s="714"/>
      <c r="J109" s="714"/>
      <c r="K109" s="715"/>
      <c r="L109" s="716"/>
      <c r="M109" s="717"/>
      <c r="N109" s="2159"/>
      <c r="O109" s="2159"/>
      <c r="P109" s="2160"/>
      <c r="Q109" s="2153"/>
      <c r="R109" s="2140"/>
      <c r="S109" s="2140"/>
      <c r="T109" s="2140"/>
      <c r="U109" s="2140"/>
      <c r="V109" s="2140"/>
      <c r="W109" s="2140"/>
      <c r="X109" s="2140"/>
      <c r="Y109" s="2140"/>
      <c r="Z109" s="2140"/>
      <c r="AA109" s="2140"/>
      <c r="AB109" s="2140"/>
      <c r="AC109" s="2140"/>
    </row>
    <row r="110" spans="1:29" ht="15.75" thickBot="1">
      <c r="A110" s="665"/>
      <c r="B110" s="674"/>
      <c r="C110" s="675">
        <v>100</v>
      </c>
      <c r="D110" s="675">
        <f t="shared" ref="D110:M110" si="26">C110-$K36</f>
        <v>97</v>
      </c>
      <c r="E110" s="675">
        <f t="shared" si="26"/>
        <v>94</v>
      </c>
      <c r="F110" s="675">
        <f t="shared" si="26"/>
        <v>91</v>
      </c>
      <c r="G110" s="675">
        <f t="shared" si="26"/>
        <v>88</v>
      </c>
      <c r="H110" s="675">
        <f t="shared" si="26"/>
        <v>85</v>
      </c>
      <c r="I110" s="675">
        <f t="shared" si="26"/>
        <v>82</v>
      </c>
      <c r="J110" s="675">
        <f t="shared" si="26"/>
        <v>79</v>
      </c>
      <c r="K110" s="675">
        <f t="shared" si="26"/>
        <v>76</v>
      </c>
      <c r="L110" s="675">
        <f t="shared" si="26"/>
        <v>73</v>
      </c>
      <c r="M110" s="675">
        <f t="shared" si="26"/>
        <v>70</v>
      </c>
      <c r="N110" s="2161"/>
      <c r="O110" s="2161"/>
      <c r="P110" s="2160"/>
      <c r="Q110" s="2153"/>
      <c r="R110" s="2140"/>
      <c r="S110" s="2140"/>
      <c r="T110" s="2140"/>
      <c r="U110" s="2140"/>
      <c r="V110" s="2140"/>
      <c r="W110" s="2140"/>
      <c r="X110" s="2140"/>
      <c r="Y110" s="2140"/>
      <c r="Z110" s="2140"/>
      <c r="AA110" s="2140"/>
      <c r="AB110" s="2140"/>
      <c r="AC110" s="2140"/>
    </row>
    <row r="111" spans="1:29" s="1334" customFormat="1" ht="15" thickTop="1">
      <c r="A111" s="724"/>
      <c r="B111" s="669" t="s">
        <v>745</v>
      </c>
      <c r="C111" s="704" t="str">
        <f>C112&amp;"(含)"&amp;"-"&amp;D112</f>
        <v>0.5(含)-0.6</v>
      </c>
      <c r="D111" s="704" t="str">
        <f>D112&amp;"(含)"&amp;"-"&amp;E112</f>
        <v>0.6(含)-0.7</v>
      </c>
      <c r="E111" s="704" t="str">
        <f>E112&amp;"(含)"&amp;"-"&amp;F112</f>
        <v>0.7(含)-0.8</v>
      </c>
      <c r="F111" s="704" t="str">
        <f>F112&amp;"(含)"&amp;"-"&amp;G112</f>
        <v>0.8(含)-0.9</v>
      </c>
      <c r="G111" s="704" t="str">
        <f>G112&amp;"(含)"&amp;"-"&amp;ROUND(H112,0)</f>
        <v>0.9(含)-1</v>
      </c>
      <c r="H111" s="704" t="str">
        <f>ROUND(H112,0)&amp;"(含)"&amp;"-"&amp;I112</f>
        <v>1(含)-</v>
      </c>
      <c r="I111" s="704"/>
      <c r="J111" s="709"/>
      <c r="K111" s="709"/>
      <c r="L111" s="710"/>
      <c r="M111" s="711"/>
      <c r="N111" s="2162"/>
      <c r="O111" s="2162"/>
      <c r="P111" s="2163"/>
      <c r="Q111" s="2164"/>
      <c r="R111" s="2165"/>
      <c r="S111" s="2165"/>
      <c r="T111" s="2165"/>
      <c r="U111" s="2165"/>
      <c r="V111" s="2165"/>
      <c r="W111" s="2165"/>
      <c r="X111" s="2165"/>
      <c r="Y111" s="2165"/>
      <c r="Z111" s="2165"/>
      <c r="AA111" s="2165"/>
      <c r="AB111" s="2165"/>
      <c r="AC111" s="2165"/>
    </row>
    <row r="112" spans="1:29" s="1334" customFormat="1">
      <c r="A112" s="724"/>
      <c r="B112" s="677"/>
      <c r="C112" s="889">
        <v>0.5</v>
      </c>
      <c r="D112" s="889">
        <v>0.6</v>
      </c>
      <c r="E112" s="889">
        <v>0.7</v>
      </c>
      <c r="F112" s="889">
        <v>0.8</v>
      </c>
      <c r="G112" s="889">
        <v>0.9</v>
      </c>
      <c r="H112" s="889">
        <v>1.0001</v>
      </c>
      <c r="I112" s="889"/>
      <c r="J112" s="890"/>
      <c r="K112" s="890"/>
      <c r="L112" s="891"/>
      <c r="M112" s="892"/>
      <c r="N112" s="2162"/>
      <c r="O112" s="2162"/>
      <c r="P112" s="2163"/>
      <c r="Q112" s="2164"/>
      <c r="R112" s="2165"/>
      <c r="S112" s="2165"/>
      <c r="T112" s="2165"/>
      <c r="U112" s="2165"/>
      <c r="V112" s="2165"/>
      <c r="W112" s="2165"/>
      <c r="X112" s="2165"/>
      <c r="Y112" s="2165"/>
      <c r="Z112" s="2165"/>
      <c r="AA112" s="2165"/>
      <c r="AB112" s="2165"/>
      <c r="AC112" s="2165"/>
    </row>
    <row r="113" spans="1:29" s="1334" customFormat="1" ht="15.75" thickBot="1">
      <c r="A113" s="683"/>
      <c r="B113" s="674"/>
      <c r="C113" s="708">
        <v>100</v>
      </c>
      <c r="D113" s="675">
        <f>C113+$K37</f>
        <v>100</v>
      </c>
      <c r="E113" s="675">
        <f>D113+$K37</f>
        <v>100</v>
      </c>
      <c r="F113" s="675">
        <f>E113+$K37</f>
        <v>100</v>
      </c>
      <c r="G113" s="675">
        <f>F113+$K37</f>
        <v>100</v>
      </c>
      <c r="H113" s="675">
        <f>G113+$K37</f>
        <v>100</v>
      </c>
      <c r="I113" s="708"/>
      <c r="J113" s="712"/>
      <c r="K113" s="712"/>
      <c r="L113" s="712"/>
      <c r="M113" s="713"/>
      <c r="N113" s="2162"/>
      <c r="O113" s="2162"/>
      <c r="P113" s="2163"/>
      <c r="Q113" s="2164"/>
      <c r="R113" s="2165"/>
      <c r="S113" s="2165"/>
      <c r="T113" s="2165"/>
      <c r="U113" s="2165"/>
      <c r="V113" s="2165"/>
      <c r="W113" s="2165"/>
      <c r="X113" s="2165"/>
      <c r="Y113" s="2165"/>
      <c r="Z113" s="2165"/>
      <c r="AA113" s="2165"/>
      <c r="AB113" s="2165"/>
      <c r="AC113" s="2165"/>
    </row>
    <row r="114" spans="1:29" ht="15" thickTop="1">
      <c r="A114" s="731"/>
      <c r="B114" s="669" t="s">
        <v>746</v>
      </c>
      <c r="C114" s="684" t="s">
        <v>3061</v>
      </c>
      <c r="D114" s="684" t="s">
        <v>3062</v>
      </c>
      <c r="E114" s="714"/>
      <c r="F114" s="714"/>
      <c r="G114" s="714"/>
      <c r="H114" s="714"/>
      <c r="I114" s="714"/>
      <c r="J114" s="714"/>
      <c r="K114" s="715"/>
      <c r="L114" s="716"/>
      <c r="M114" s="717"/>
      <c r="N114" s="2159"/>
      <c r="O114" s="2159"/>
      <c r="P114" s="2160"/>
      <c r="Q114" s="2153"/>
      <c r="R114" s="2140"/>
      <c r="S114" s="2140"/>
      <c r="T114" s="2140"/>
      <c r="U114" s="2140"/>
      <c r="V114" s="2140"/>
      <c r="W114" s="2140"/>
      <c r="X114" s="2140"/>
      <c r="Y114" s="2140"/>
      <c r="Z114" s="2140"/>
      <c r="AA114" s="2140"/>
      <c r="AB114" s="2140"/>
      <c r="AC114" s="2140"/>
    </row>
    <row r="115" spans="1:29" ht="15.75" thickBot="1">
      <c r="A115" s="665"/>
      <c r="B115" s="674"/>
      <c r="C115" s="675">
        <v>100</v>
      </c>
      <c r="D115" s="675">
        <f t="shared" ref="D115:M115" si="27">C115-$K38</f>
        <v>98</v>
      </c>
      <c r="E115" s="675">
        <f t="shared" si="27"/>
        <v>96</v>
      </c>
      <c r="F115" s="675">
        <f t="shared" si="27"/>
        <v>94</v>
      </c>
      <c r="G115" s="675">
        <f t="shared" si="27"/>
        <v>92</v>
      </c>
      <c r="H115" s="675">
        <f t="shared" si="27"/>
        <v>90</v>
      </c>
      <c r="I115" s="675">
        <f t="shared" si="27"/>
        <v>88</v>
      </c>
      <c r="J115" s="675">
        <f t="shared" si="27"/>
        <v>86</v>
      </c>
      <c r="K115" s="675">
        <f t="shared" si="27"/>
        <v>84</v>
      </c>
      <c r="L115" s="675">
        <f t="shared" si="27"/>
        <v>82</v>
      </c>
      <c r="M115" s="675">
        <f t="shared" si="27"/>
        <v>80</v>
      </c>
      <c r="N115" s="2161"/>
      <c r="O115" s="2161"/>
      <c r="P115" s="2160"/>
      <c r="Q115" s="2153"/>
      <c r="R115" s="2140"/>
      <c r="S115" s="2140"/>
      <c r="T115" s="2140"/>
      <c r="U115" s="2140"/>
      <c r="V115" s="2140"/>
      <c r="W115" s="2140"/>
      <c r="X115" s="2140"/>
      <c r="Y115" s="2140"/>
      <c r="Z115" s="2140"/>
      <c r="AA115" s="2140"/>
      <c r="AB115" s="2140"/>
      <c r="AC115" s="2140"/>
    </row>
    <row r="116" spans="1:29" ht="15" thickTop="1">
      <c r="A116" s="731"/>
      <c r="B116" s="1891" t="s">
        <v>2553</v>
      </c>
      <c r="C116" s="684" t="s">
        <v>3063</v>
      </c>
      <c r="D116" s="684" t="s">
        <v>3064</v>
      </c>
      <c r="E116" s="684" t="s">
        <v>3065</v>
      </c>
      <c r="F116" s="684" t="s">
        <v>3066</v>
      </c>
      <c r="G116" s="684" t="s">
        <v>3067</v>
      </c>
      <c r="H116" s="714"/>
      <c r="I116" s="714"/>
      <c r="J116" s="714"/>
      <c r="K116" s="715"/>
      <c r="L116" s="716"/>
      <c r="M116" s="717"/>
      <c r="N116" s="2159"/>
      <c r="O116" s="2159"/>
      <c r="P116" s="2160"/>
      <c r="Q116" s="2153"/>
      <c r="R116" s="2140"/>
      <c r="S116" s="2140"/>
      <c r="T116" s="2140"/>
      <c r="U116" s="2140"/>
      <c r="V116" s="2140"/>
      <c r="W116" s="2140"/>
      <c r="X116" s="2140"/>
      <c r="Y116" s="2140"/>
      <c r="Z116" s="2140"/>
      <c r="AA116" s="2140"/>
      <c r="AB116" s="2140"/>
      <c r="AC116" s="2140"/>
    </row>
    <row r="117" spans="1:29" ht="15.75" thickBot="1">
      <c r="A117" s="665"/>
      <c r="B117" s="674"/>
      <c r="C117" s="675">
        <v>100</v>
      </c>
      <c r="D117" s="675">
        <f>C117-$K39</f>
        <v>99</v>
      </c>
      <c r="E117" s="675">
        <f>D117-$K39</f>
        <v>98</v>
      </c>
      <c r="F117" s="675">
        <f>E117-$K39</f>
        <v>97</v>
      </c>
      <c r="G117" s="675">
        <f>F117-$K39</f>
        <v>96</v>
      </c>
      <c r="H117" s="675"/>
      <c r="I117" s="675"/>
      <c r="J117" s="675"/>
      <c r="K117" s="675"/>
      <c r="L117" s="675"/>
      <c r="M117" s="676"/>
      <c r="N117" s="2161"/>
      <c r="O117" s="2161"/>
      <c r="P117" s="2160"/>
      <c r="Q117" s="2153"/>
      <c r="R117" s="2140"/>
      <c r="S117" s="2140"/>
      <c r="T117" s="2140"/>
      <c r="U117" s="2140"/>
      <c r="V117" s="2140"/>
      <c r="W117" s="2140"/>
      <c r="X117" s="2140"/>
      <c r="Y117" s="2140"/>
      <c r="Z117" s="2140"/>
      <c r="AA117" s="2140"/>
      <c r="AB117" s="2140"/>
      <c r="AC117" s="2140"/>
    </row>
    <row r="118" spans="1:29" ht="15" thickTop="1">
      <c r="A118" s="731"/>
      <c r="B118" s="669" t="s">
        <v>747</v>
      </c>
      <c r="C118" s="714"/>
      <c r="D118" s="714"/>
      <c r="E118" s="714"/>
      <c r="F118" s="714"/>
      <c r="G118" s="714"/>
      <c r="H118" s="714"/>
      <c r="I118" s="714"/>
      <c r="J118" s="714"/>
      <c r="K118" s="715"/>
      <c r="L118" s="716"/>
      <c r="M118" s="717"/>
      <c r="N118" s="2159"/>
      <c r="O118" s="2159"/>
      <c r="P118" s="2160"/>
      <c r="Q118" s="2153"/>
      <c r="R118" s="2140"/>
      <c r="S118" s="2140"/>
      <c r="T118" s="2140"/>
      <c r="U118" s="2140"/>
      <c r="V118" s="2140"/>
      <c r="W118" s="2140"/>
      <c r="X118" s="2140"/>
      <c r="Y118" s="2140"/>
      <c r="Z118" s="2140"/>
      <c r="AA118" s="2140"/>
      <c r="AB118" s="2140"/>
      <c r="AC118" s="2140"/>
    </row>
    <row r="119" spans="1:29" ht="15.75" thickBot="1">
      <c r="A119" s="665"/>
      <c r="B119" s="674"/>
      <c r="C119" s="675">
        <v>100</v>
      </c>
      <c r="D119" s="675">
        <f t="shared" ref="D119:M119" si="28">C119-$K40</f>
        <v>100</v>
      </c>
      <c r="E119" s="675">
        <f t="shared" si="28"/>
        <v>100</v>
      </c>
      <c r="F119" s="675">
        <f t="shared" si="28"/>
        <v>100</v>
      </c>
      <c r="G119" s="675">
        <f t="shared" si="28"/>
        <v>100</v>
      </c>
      <c r="H119" s="675">
        <f t="shared" si="28"/>
        <v>100</v>
      </c>
      <c r="I119" s="675">
        <f t="shared" si="28"/>
        <v>100</v>
      </c>
      <c r="J119" s="675">
        <f t="shared" si="28"/>
        <v>100</v>
      </c>
      <c r="K119" s="675">
        <f t="shared" si="28"/>
        <v>100</v>
      </c>
      <c r="L119" s="675">
        <f t="shared" si="28"/>
        <v>100</v>
      </c>
      <c r="M119" s="675">
        <f t="shared" si="28"/>
        <v>100</v>
      </c>
      <c r="N119" s="2161"/>
      <c r="O119" s="2161"/>
      <c r="P119" s="2160"/>
      <c r="Q119" s="2153"/>
      <c r="R119" s="2140"/>
      <c r="S119" s="2140"/>
      <c r="T119" s="2140"/>
      <c r="U119" s="2140"/>
      <c r="V119" s="2140"/>
      <c r="W119" s="2140"/>
      <c r="X119" s="2140"/>
      <c r="Y119" s="2140"/>
      <c r="Z119" s="2140"/>
      <c r="AA119" s="2140"/>
      <c r="AB119" s="2140"/>
      <c r="AC119" s="2140"/>
    </row>
    <row r="120" spans="1:29" s="1334" customFormat="1" ht="28.5" thickTop="1">
      <c r="A120" s="724"/>
      <c r="B120" s="669" t="s">
        <v>726</v>
      </c>
      <c r="C120" s="684"/>
      <c r="D120" s="684"/>
      <c r="E120" s="684"/>
      <c r="F120" s="684"/>
      <c r="G120" s="684"/>
      <c r="H120" s="684"/>
      <c r="I120" s="684"/>
      <c r="J120" s="684"/>
      <c r="K120" s="684"/>
      <c r="L120" s="885"/>
      <c r="M120" s="886"/>
      <c r="N120" s="2162"/>
      <c r="O120" s="2162"/>
      <c r="P120" s="2163"/>
      <c r="Q120" s="2164"/>
      <c r="R120" s="2165"/>
      <c r="S120" s="2165"/>
      <c r="T120" s="2165"/>
      <c r="U120" s="2165"/>
      <c r="V120" s="2165"/>
      <c r="W120" s="2165"/>
      <c r="X120" s="2165"/>
      <c r="Y120" s="2165"/>
      <c r="Z120" s="2165"/>
      <c r="AA120" s="2165"/>
      <c r="AB120" s="2165"/>
      <c r="AC120" s="2165"/>
    </row>
    <row r="121" spans="1:29" s="1334" customFormat="1" ht="15.75" thickBot="1">
      <c r="A121" s="683"/>
      <c r="B121" s="666"/>
      <c r="C121" s="688"/>
      <c r="D121" s="667"/>
      <c r="E121" s="667"/>
      <c r="F121" s="667"/>
      <c r="G121" s="667"/>
      <c r="H121" s="667"/>
      <c r="I121" s="667"/>
      <c r="J121" s="667"/>
      <c r="K121" s="667"/>
      <c r="L121" s="667"/>
      <c r="M121" s="667"/>
      <c r="N121" s="2162"/>
      <c r="O121" s="2162"/>
      <c r="P121" s="2163"/>
      <c r="Q121" s="2164"/>
      <c r="R121" s="2165"/>
      <c r="S121" s="2165"/>
      <c r="T121" s="2165"/>
      <c r="U121" s="2165"/>
      <c r="V121" s="2165"/>
      <c r="W121" s="2165"/>
      <c r="X121" s="2165"/>
      <c r="Y121" s="2165"/>
      <c r="Z121" s="2165"/>
      <c r="AA121" s="2165"/>
      <c r="AB121" s="2165"/>
      <c r="AC121" s="2165"/>
    </row>
    <row r="122" spans="1:29" ht="15" thickTop="1">
      <c r="A122" s="731"/>
      <c r="B122" s="669" t="s">
        <v>748</v>
      </c>
      <c r="C122" s="684" t="s">
        <v>3052</v>
      </c>
      <c r="D122" s="684" t="s">
        <v>3053</v>
      </c>
      <c r="E122" s="684" t="s">
        <v>3054</v>
      </c>
      <c r="F122" s="714" t="s">
        <v>3055</v>
      </c>
      <c r="G122" s="714"/>
      <c r="H122" s="714"/>
      <c r="I122" s="714"/>
      <c r="J122" s="714"/>
      <c r="K122" s="715"/>
      <c r="L122" s="716"/>
      <c r="M122" s="717"/>
      <c r="N122" s="2159"/>
      <c r="O122" s="2159"/>
      <c r="P122" s="2160"/>
      <c r="Q122" s="2153"/>
      <c r="R122" s="2140"/>
      <c r="S122" s="2140"/>
      <c r="T122" s="2140"/>
      <c r="U122" s="2140"/>
      <c r="V122" s="2140"/>
      <c r="W122" s="2140"/>
      <c r="X122" s="2140"/>
      <c r="Y122" s="2140"/>
      <c r="Z122" s="2140"/>
      <c r="AA122" s="2140"/>
      <c r="AB122" s="2140"/>
      <c r="AC122" s="2140"/>
    </row>
    <row r="123" spans="1:29" ht="15.75" thickBot="1">
      <c r="A123" s="665"/>
      <c r="B123" s="674"/>
      <c r="C123" s="675">
        <v>100</v>
      </c>
      <c r="D123" s="675">
        <f t="shared" ref="D123:M123" si="29">C123-$K42</f>
        <v>97</v>
      </c>
      <c r="E123" s="675">
        <f t="shared" si="29"/>
        <v>94</v>
      </c>
      <c r="F123" s="675">
        <f t="shared" si="29"/>
        <v>91</v>
      </c>
      <c r="G123" s="675">
        <f t="shared" si="29"/>
        <v>88</v>
      </c>
      <c r="H123" s="675">
        <f t="shared" si="29"/>
        <v>85</v>
      </c>
      <c r="I123" s="675">
        <f t="shared" si="29"/>
        <v>82</v>
      </c>
      <c r="J123" s="675">
        <f t="shared" si="29"/>
        <v>79</v>
      </c>
      <c r="K123" s="675">
        <f t="shared" si="29"/>
        <v>76</v>
      </c>
      <c r="L123" s="675">
        <f t="shared" si="29"/>
        <v>73</v>
      </c>
      <c r="M123" s="675">
        <f t="shared" si="29"/>
        <v>70</v>
      </c>
      <c r="N123" s="2161"/>
      <c r="O123" s="2161"/>
      <c r="P123" s="2160"/>
      <c r="Q123" s="2153"/>
      <c r="R123" s="2140"/>
      <c r="S123" s="2140"/>
      <c r="T123" s="2140"/>
      <c r="U123" s="2140"/>
      <c r="V123" s="2140"/>
      <c r="W123" s="2140"/>
      <c r="X123" s="2140"/>
      <c r="Y123" s="2140"/>
      <c r="Z123" s="2140"/>
      <c r="AA123" s="2140"/>
      <c r="AB123" s="2140"/>
      <c r="AC123" s="2140"/>
    </row>
    <row r="124" spans="1:29" ht="27.75" thickTop="1">
      <c r="A124" s="731"/>
      <c r="B124" s="669" t="s">
        <v>749</v>
      </c>
      <c r="C124" s="704" t="s">
        <v>573</v>
      </c>
      <c r="D124" s="704" t="s">
        <v>574</v>
      </c>
      <c r="E124" s="704" t="s">
        <v>575</v>
      </c>
      <c r="F124" s="704" t="s">
        <v>576</v>
      </c>
      <c r="G124" s="704" t="s">
        <v>577</v>
      </c>
      <c r="H124" s="670"/>
      <c r="I124" s="670"/>
      <c r="J124" s="670"/>
      <c r="K124" s="671"/>
      <c r="L124" s="672"/>
      <c r="M124" s="673"/>
      <c r="N124" s="2159"/>
      <c r="O124" s="2159"/>
      <c r="P124" s="2163"/>
      <c r="Q124" s="2153"/>
      <c r="R124" s="2140"/>
      <c r="S124" s="2140"/>
      <c r="T124" s="2140"/>
      <c r="U124" s="2140"/>
      <c r="V124" s="2140"/>
      <c r="W124" s="2140"/>
      <c r="X124" s="2140"/>
      <c r="Y124" s="2140"/>
      <c r="Z124" s="2140"/>
      <c r="AA124" s="2140"/>
      <c r="AB124" s="2140"/>
      <c r="AC124" s="2140"/>
    </row>
    <row r="125" spans="1:29" ht="15.75" thickBot="1">
      <c r="A125" s="665"/>
      <c r="B125" s="674"/>
      <c r="C125" s="675">
        <v>100</v>
      </c>
      <c r="D125" s="675">
        <f>C125-$K43</f>
        <v>98</v>
      </c>
      <c r="E125" s="675">
        <f>D125-$K43</f>
        <v>96</v>
      </c>
      <c r="F125" s="675">
        <f>E125-$K43</f>
        <v>94</v>
      </c>
      <c r="G125" s="675">
        <f>F125-$K43</f>
        <v>92</v>
      </c>
      <c r="H125" s="675"/>
      <c r="I125" s="675"/>
      <c r="J125" s="675"/>
      <c r="K125" s="675"/>
      <c r="L125" s="675"/>
      <c r="M125" s="676"/>
      <c r="N125" s="2161"/>
      <c r="O125" s="2161"/>
      <c r="P125" s="2160"/>
      <c r="Q125" s="2153"/>
      <c r="R125" s="2140"/>
      <c r="S125" s="2140"/>
      <c r="T125" s="2140"/>
      <c r="U125" s="2140"/>
      <c r="V125" s="2140"/>
      <c r="W125" s="2140"/>
      <c r="X125" s="2140"/>
      <c r="Y125" s="2140"/>
      <c r="Z125" s="2140"/>
      <c r="AA125" s="2140"/>
      <c r="AB125" s="2140"/>
      <c r="AC125" s="2140"/>
    </row>
    <row r="126" spans="1:29" s="1334" customFormat="1" ht="15" thickTop="1">
      <c r="A126" s="724"/>
      <c r="B126" s="669">
        <f>B44</f>
        <v>111</v>
      </c>
      <c r="C126" s="684"/>
      <c r="D126" s="684"/>
      <c r="E126" s="684"/>
      <c r="F126" s="684"/>
      <c r="G126" s="684"/>
      <c r="H126" s="685"/>
      <c r="I126" s="685"/>
      <c r="J126" s="685"/>
      <c r="K126" s="685"/>
      <c r="L126" s="686"/>
      <c r="M126" s="687"/>
      <c r="N126" s="2162"/>
      <c r="O126" s="2162"/>
      <c r="P126" s="2163"/>
      <c r="Q126" s="2164"/>
      <c r="R126" s="2165"/>
      <c r="S126" s="2165"/>
      <c r="T126" s="2165"/>
      <c r="U126" s="2165"/>
      <c r="V126" s="2165"/>
      <c r="W126" s="2165"/>
      <c r="X126" s="2165"/>
      <c r="Y126" s="2165"/>
      <c r="Z126" s="2165"/>
      <c r="AA126" s="2165"/>
      <c r="AB126" s="2165"/>
      <c r="AC126" s="2165"/>
    </row>
    <row r="127" spans="1:29" s="1334" customFormat="1" ht="15.75" thickBot="1">
      <c r="A127" s="683"/>
      <c r="B127" s="674"/>
      <c r="C127" s="688"/>
      <c r="D127" s="667"/>
      <c r="E127" s="667"/>
      <c r="F127" s="667"/>
      <c r="G127" s="688"/>
      <c r="H127" s="689"/>
      <c r="I127" s="689"/>
      <c r="J127" s="689"/>
      <c r="K127" s="689"/>
      <c r="L127" s="689"/>
      <c r="M127" s="690"/>
      <c r="N127" s="2162"/>
      <c r="O127" s="2162"/>
      <c r="P127" s="2163"/>
      <c r="Q127" s="2164"/>
      <c r="R127" s="2165"/>
      <c r="S127" s="2165"/>
      <c r="T127" s="2165"/>
      <c r="U127" s="2165"/>
      <c r="V127" s="2165"/>
      <c r="W127" s="2165"/>
      <c r="X127" s="2165"/>
      <c r="Y127" s="2165"/>
      <c r="Z127" s="2165"/>
      <c r="AA127" s="2165"/>
      <c r="AB127" s="2165"/>
      <c r="AC127" s="2165"/>
    </row>
    <row r="128" spans="1:29" ht="15" thickTop="1">
      <c r="A128" s="731"/>
      <c r="B128" s="669">
        <f>B45</f>
        <v>111</v>
      </c>
      <c r="C128" s="684"/>
      <c r="D128" s="684"/>
      <c r="E128" s="684"/>
      <c r="F128" s="684"/>
      <c r="G128" s="714"/>
      <c r="H128" s="714"/>
      <c r="I128" s="714"/>
      <c r="J128" s="714"/>
      <c r="K128" s="715"/>
      <c r="L128" s="716"/>
      <c r="M128" s="717"/>
      <c r="N128" s="2159"/>
      <c r="O128" s="2159"/>
      <c r="P128" s="2160"/>
      <c r="Q128" s="2153"/>
      <c r="R128" s="2140"/>
      <c r="S128" s="2140"/>
      <c r="T128" s="2140"/>
      <c r="U128" s="2140"/>
      <c r="V128" s="2140"/>
      <c r="W128" s="2140"/>
      <c r="X128" s="2140"/>
      <c r="Y128" s="2140"/>
      <c r="Z128" s="2140"/>
      <c r="AA128" s="2140"/>
      <c r="AB128" s="2140"/>
      <c r="AC128" s="2140"/>
    </row>
    <row r="129" spans="1:29" ht="15.75" thickBot="1">
      <c r="A129" s="665"/>
      <c r="B129" s="674"/>
      <c r="C129" s="688"/>
      <c r="D129" s="688"/>
      <c r="E129" s="688"/>
      <c r="F129" s="688"/>
      <c r="G129" s="667"/>
      <c r="H129" s="667"/>
      <c r="I129" s="667"/>
      <c r="J129" s="667"/>
      <c r="K129" s="667"/>
      <c r="L129" s="667"/>
      <c r="M129" s="668"/>
      <c r="N129" s="2161"/>
      <c r="O129" s="2161"/>
      <c r="P129" s="2160"/>
      <c r="Q129" s="2153"/>
      <c r="R129" s="2140"/>
      <c r="S129" s="2140"/>
      <c r="T129" s="2140"/>
      <c r="U129" s="2140"/>
      <c r="V129" s="2140"/>
      <c r="W129" s="2140"/>
      <c r="X129" s="2140"/>
      <c r="Y129" s="2140"/>
      <c r="Z129" s="2140"/>
      <c r="AA129" s="2140"/>
      <c r="AB129" s="2140"/>
      <c r="AC129" s="2140"/>
    </row>
    <row r="130" spans="1:29" ht="15" thickTop="1">
      <c r="A130" s="731"/>
      <c r="B130" s="677">
        <f>B46</f>
        <v>111</v>
      </c>
      <c r="C130" s="684"/>
      <c r="D130" s="684"/>
      <c r="E130" s="684"/>
      <c r="F130" s="684"/>
      <c r="G130" s="718"/>
      <c r="H130" s="718"/>
      <c r="I130" s="718"/>
      <c r="J130" s="718"/>
      <c r="K130" s="657"/>
      <c r="L130" s="658"/>
      <c r="M130" s="721"/>
      <c r="N130" s="2159"/>
      <c r="O130" s="2159"/>
      <c r="P130" s="2160"/>
      <c r="Q130" s="2153"/>
      <c r="R130" s="2140"/>
      <c r="S130" s="2140"/>
      <c r="T130" s="2140"/>
      <c r="U130" s="2140"/>
      <c r="V130" s="2140"/>
      <c r="W130" s="2140"/>
      <c r="X130" s="2140"/>
      <c r="Y130" s="2140"/>
      <c r="Z130" s="2140"/>
      <c r="AA130" s="2140"/>
      <c r="AB130" s="2140"/>
      <c r="AC130" s="2140"/>
    </row>
    <row r="131" spans="1:29" ht="15.75" thickBot="1">
      <c r="A131" s="888"/>
      <c r="B131" s="695"/>
      <c r="C131" s="696"/>
      <c r="D131" s="696"/>
      <c r="E131" s="696"/>
      <c r="F131" s="696"/>
      <c r="G131" s="722"/>
      <c r="H131" s="722"/>
      <c r="I131" s="722"/>
      <c r="J131" s="722"/>
      <c r="K131" s="722"/>
      <c r="L131" s="722"/>
      <c r="M131" s="723"/>
      <c r="N131" s="2161"/>
      <c r="O131" s="2161"/>
      <c r="P131" s="2160"/>
      <c r="Q131" s="2153"/>
      <c r="R131" s="2140"/>
      <c r="S131" s="2140"/>
      <c r="T131" s="2140"/>
      <c r="U131" s="2140"/>
      <c r="V131" s="2140"/>
      <c r="W131" s="2140"/>
      <c r="X131" s="2140"/>
      <c r="Y131" s="2140"/>
      <c r="Z131" s="2140"/>
      <c r="AA131" s="2140"/>
      <c r="AB131" s="2140"/>
      <c r="AC131" s="2140"/>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ht="15" thickBot="1">
      <c r="A136" s="2174"/>
      <c r="B136" s="1910" t="s">
        <v>2253</v>
      </c>
      <c r="C136" s="1911"/>
      <c r="D136" s="1911"/>
      <c r="E136" s="1911"/>
      <c r="F136" s="1911"/>
      <c r="G136" s="1911"/>
      <c r="H136" s="1911"/>
      <c r="I136" s="1911"/>
      <c r="J136" s="1911"/>
      <c r="K136" s="1912"/>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1913" t="s">
        <v>2254</v>
      </c>
      <c r="C137" s="1914"/>
      <c r="D137" s="1914"/>
      <c r="E137" s="1914"/>
      <c r="F137" s="1914"/>
      <c r="G137" s="1915"/>
      <c r="H137" s="1916"/>
      <c r="I137" s="1917" t="s">
        <v>2255</v>
      </c>
      <c r="J137" s="1914"/>
      <c r="K137" s="1918"/>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1919"/>
      <c r="C138" s="1920" t="s">
        <v>2256</v>
      </c>
      <c r="D138" s="1920" t="s">
        <v>2257</v>
      </c>
      <c r="E138" s="1921" t="s">
        <v>2258</v>
      </c>
      <c r="F138" s="1922" t="s">
        <v>2259</v>
      </c>
      <c r="G138" s="1920" t="s">
        <v>2260</v>
      </c>
      <c r="H138" s="1923" t="s">
        <v>2261</v>
      </c>
      <c r="I138" s="1924"/>
      <c r="J138" s="1920" t="s">
        <v>2262</v>
      </c>
      <c r="K138" s="1923" t="s">
        <v>2263</v>
      </c>
      <c r="L138" s="2176"/>
      <c r="M138" s="2174"/>
      <c r="N138" s="2174"/>
      <c r="O138" s="2174"/>
      <c r="P138" s="2174"/>
      <c r="Q138" s="2174"/>
      <c r="R138" s="2174"/>
      <c r="S138" s="2174"/>
      <c r="T138" s="2174"/>
      <c r="U138" s="2174"/>
      <c r="V138" s="2174"/>
      <c r="W138" s="2174"/>
      <c r="X138" s="2174"/>
      <c r="Y138" s="2174"/>
      <c r="Z138" s="2174"/>
      <c r="AA138" s="2174"/>
      <c r="AB138" s="2174"/>
      <c r="AC138" s="2174"/>
    </row>
    <row r="139" spans="1:29" ht="15">
      <c r="A139" s="2174"/>
      <c r="B139" s="1892">
        <v>6</v>
      </c>
      <c r="C139" s="1893">
        <v>96</v>
      </c>
      <c r="D139" s="1925" t="s">
        <v>2264</v>
      </c>
      <c r="E139" s="1894">
        <v>100</v>
      </c>
      <c r="F139" s="1895">
        <v>102.5</v>
      </c>
      <c r="G139" s="1925" t="s">
        <v>2265</v>
      </c>
      <c r="H139" s="1896">
        <v>105</v>
      </c>
      <c r="I139" s="1926" t="s">
        <v>2266</v>
      </c>
      <c r="J139" s="1893">
        <v>20</v>
      </c>
      <c r="K139" s="1897">
        <f>C145/(J139-2)</f>
        <v>4.0555555555555553E-3</v>
      </c>
      <c r="L139" s="2176"/>
      <c r="M139" s="2174"/>
      <c r="N139" s="2174"/>
      <c r="O139" s="2174"/>
      <c r="P139" s="2174"/>
      <c r="Q139" s="2174"/>
      <c r="R139" s="2174"/>
      <c r="S139" s="2174"/>
      <c r="T139" s="2174"/>
      <c r="U139" s="2174"/>
      <c r="V139" s="2174"/>
      <c r="W139" s="2174"/>
      <c r="X139" s="2174"/>
      <c r="Y139" s="2174"/>
      <c r="Z139" s="2174"/>
      <c r="AA139" s="2174"/>
      <c r="AB139" s="2174"/>
      <c r="AC139" s="2174"/>
    </row>
    <row r="140" spans="1:29" ht="15">
      <c r="A140" s="2174"/>
      <c r="B140" s="1898">
        <v>5</v>
      </c>
      <c r="C140" s="1899">
        <v>100</v>
      </c>
      <c r="D140" s="1927"/>
      <c r="E140" s="1900"/>
      <c r="F140" s="1901">
        <v>102</v>
      </c>
      <c r="G140" s="1927"/>
      <c r="H140" s="1902"/>
      <c r="I140" s="1928" t="s">
        <v>2267</v>
      </c>
      <c r="J140" s="842">
        <f>ROUNDUP((J139-1)/2,0)</f>
        <v>10</v>
      </c>
      <c r="K140" s="1903">
        <v>100</v>
      </c>
      <c r="L140" s="2176"/>
      <c r="M140" s="2174"/>
      <c r="N140" s="2174"/>
      <c r="O140" s="2174"/>
      <c r="P140" s="2174"/>
      <c r="Q140" s="2174"/>
      <c r="R140" s="2174"/>
      <c r="S140" s="2174"/>
      <c r="T140" s="2174"/>
      <c r="U140" s="2174"/>
      <c r="V140" s="2174"/>
      <c r="W140" s="2174"/>
      <c r="X140" s="2174"/>
      <c r="Y140" s="2174"/>
      <c r="Z140" s="2174"/>
      <c r="AA140" s="2174"/>
      <c r="AB140" s="2174"/>
      <c r="AC140" s="2174"/>
    </row>
    <row r="141" spans="1:29" ht="15">
      <c r="A141" s="2174"/>
      <c r="B141" s="1898">
        <v>4</v>
      </c>
      <c r="C141" s="1899">
        <v>102</v>
      </c>
      <c r="D141" s="1927"/>
      <c r="E141" s="1900"/>
      <c r="F141" s="1901">
        <v>101.5</v>
      </c>
      <c r="G141" s="1927"/>
      <c r="H141" s="1902"/>
      <c r="I141" s="1928" t="s">
        <v>2268</v>
      </c>
      <c r="J141" s="842">
        <v>1</v>
      </c>
      <c r="K141" s="1904">
        <f>ROUND(100+(J141-J140)*K139*100,1)</f>
        <v>96.4</v>
      </c>
      <c r="L141" s="2176"/>
      <c r="M141" s="2174"/>
      <c r="N141" s="2174"/>
      <c r="O141" s="2174"/>
      <c r="P141" s="2174"/>
      <c r="Q141" s="2174"/>
      <c r="R141" s="2174"/>
      <c r="S141" s="2174"/>
      <c r="T141" s="2174"/>
      <c r="U141" s="2174"/>
      <c r="V141" s="2174"/>
      <c r="W141" s="2174"/>
      <c r="X141" s="2174"/>
      <c r="Y141" s="2174"/>
      <c r="Z141" s="2174"/>
      <c r="AA141" s="2174"/>
      <c r="AB141" s="2174"/>
      <c r="AC141" s="2174"/>
    </row>
    <row r="142" spans="1:29" ht="15">
      <c r="A142" s="2174"/>
      <c r="B142" s="1898">
        <v>3</v>
      </c>
      <c r="C142" s="1899">
        <v>103</v>
      </c>
      <c r="D142" s="1927"/>
      <c r="E142" s="1900"/>
      <c r="F142" s="1901">
        <v>101</v>
      </c>
      <c r="G142" s="1927"/>
      <c r="H142" s="1902"/>
      <c r="I142" s="1928" t="s">
        <v>2269</v>
      </c>
      <c r="J142" s="842">
        <f>J139</f>
        <v>20</v>
      </c>
      <c r="K142" s="1905">
        <v>95</v>
      </c>
      <c r="L142" s="2176"/>
      <c r="M142" s="2174"/>
      <c r="N142" s="2174"/>
      <c r="O142" s="2174"/>
      <c r="P142" s="2174"/>
      <c r="Q142" s="2174"/>
      <c r="R142" s="2174"/>
      <c r="S142" s="2174"/>
      <c r="T142" s="2174"/>
      <c r="U142" s="2174"/>
      <c r="V142" s="2174"/>
      <c r="W142" s="2174"/>
      <c r="X142" s="2174"/>
      <c r="Y142" s="2174"/>
      <c r="Z142" s="2174"/>
      <c r="AA142" s="2174"/>
      <c r="AB142" s="2174"/>
      <c r="AC142" s="2174"/>
    </row>
    <row r="143" spans="1:29" ht="15">
      <c r="A143" s="2174"/>
      <c r="B143" s="1898">
        <v>2</v>
      </c>
      <c r="C143" s="1899">
        <v>100</v>
      </c>
      <c r="D143" s="1927"/>
      <c r="E143" s="1900"/>
      <c r="F143" s="1901">
        <v>100.5</v>
      </c>
      <c r="G143" s="1927"/>
      <c r="H143" s="1902"/>
      <c r="I143" s="1928" t="s">
        <v>2270</v>
      </c>
      <c r="J143" s="1899">
        <v>15</v>
      </c>
      <c r="K143" s="1904">
        <f>ROUND(100+(J143-J140)*K139*100,1)</f>
        <v>102</v>
      </c>
      <c r="L143" s="2176"/>
      <c r="M143" s="2174"/>
      <c r="N143" s="2174"/>
      <c r="O143" s="2174"/>
      <c r="P143" s="2174"/>
      <c r="Q143" s="2174"/>
      <c r="R143" s="2174"/>
      <c r="S143" s="2174"/>
      <c r="T143" s="2174"/>
      <c r="U143" s="2174"/>
      <c r="V143" s="2174"/>
      <c r="W143" s="2174"/>
      <c r="X143" s="2174"/>
      <c r="Y143" s="2174"/>
      <c r="Z143" s="2174"/>
      <c r="AA143" s="2174"/>
      <c r="AB143" s="2174"/>
      <c r="AC143" s="2174"/>
    </row>
    <row r="144" spans="1:29" ht="15">
      <c r="A144" s="2174"/>
      <c r="B144" s="1898">
        <v>1</v>
      </c>
      <c r="C144" s="1899">
        <v>98</v>
      </c>
      <c r="D144" s="1929" t="s">
        <v>2271</v>
      </c>
      <c r="E144" s="1900">
        <v>102</v>
      </c>
      <c r="F144" s="1906">
        <v>100</v>
      </c>
      <c r="G144" s="1929" t="s">
        <v>2271</v>
      </c>
      <c r="H144" s="1902">
        <v>105</v>
      </c>
      <c r="I144" s="1928" t="s">
        <v>2270</v>
      </c>
      <c r="J144" s="1899">
        <v>18</v>
      </c>
      <c r="K144" s="1904">
        <f>ROUND(100+(J144-J140)*K139*100,1)</f>
        <v>103.2</v>
      </c>
      <c r="L144" s="2176"/>
      <c r="M144" s="2174"/>
      <c r="N144" s="2174"/>
      <c r="O144" s="2174"/>
      <c r="P144" s="2174"/>
      <c r="Q144" s="2174"/>
      <c r="R144" s="2174"/>
      <c r="S144" s="2174"/>
      <c r="T144" s="2174"/>
      <c r="U144" s="2174"/>
      <c r="V144" s="2174"/>
      <c r="W144" s="2174"/>
      <c r="X144" s="2174"/>
      <c r="Y144" s="2174"/>
      <c r="Z144" s="2174"/>
      <c r="AA144" s="2174"/>
      <c r="AB144" s="2174"/>
      <c r="AC144" s="2174"/>
    </row>
    <row r="145" spans="1:29" ht="15.75" thickBot="1">
      <c r="A145" s="2174"/>
      <c r="B145" s="1930" t="s">
        <v>2272</v>
      </c>
      <c r="C145" s="1907">
        <f>ROUND(MAX(C139:C144)/MIN(C139:C144)-1,3)</f>
        <v>7.2999999999999995E-2</v>
      </c>
      <c r="D145" s="1931"/>
      <c r="E145" s="1931"/>
      <c r="F145" s="1932" t="s">
        <v>2273</v>
      </c>
      <c r="G145" s="1933"/>
      <c r="H145" s="1934"/>
      <c r="I145" s="1935" t="s">
        <v>2270</v>
      </c>
      <c r="J145" s="1908">
        <v>8</v>
      </c>
      <c r="K145" s="1909">
        <f>ROUND(100+(J145-J140)*K139*100,1)</f>
        <v>99.2</v>
      </c>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1954" t="s">
        <v>2282</v>
      </c>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1954" t="s">
        <v>2283</v>
      </c>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c r="A256" s="2174"/>
      <c r="B256" s="2174"/>
      <c r="C256" s="2174"/>
      <c r="D256" s="2174"/>
      <c r="E256" s="2174"/>
      <c r="F256" s="2174"/>
      <c r="G256" s="2174"/>
      <c r="H256" s="2174"/>
      <c r="I256" s="2174"/>
      <c r="J256" s="2174"/>
      <c r="K256" s="2175"/>
      <c r="L256" s="2176"/>
      <c r="M256" s="2174"/>
      <c r="N256" s="2174"/>
      <c r="O256" s="2174"/>
      <c r="P256" s="2174"/>
      <c r="Q256" s="2174"/>
      <c r="R256" s="2174"/>
      <c r="S256" s="2174"/>
      <c r="T256" s="2174"/>
      <c r="U256" s="2174"/>
      <c r="V256" s="2174"/>
      <c r="W256" s="2174"/>
      <c r="X256" s="2174"/>
      <c r="Y256" s="2174"/>
      <c r="Z256" s="2174"/>
      <c r="AA256" s="2174"/>
      <c r="AB256" s="2174"/>
      <c r="AC256" s="2174"/>
    </row>
    <row r="257" spans="1:29">
      <c r="A257" s="2174"/>
      <c r="B257" s="2174"/>
      <c r="C257" s="2174"/>
      <c r="D257" s="2174"/>
      <c r="E257" s="2174"/>
      <c r="F257" s="2174"/>
      <c r="G257" s="2174"/>
      <c r="H257" s="2174"/>
      <c r="I257" s="2174"/>
      <c r="J257" s="2174"/>
      <c r="K257" s="2175"/>
      <c r="L257" s="2176"/>
      <c r="M257" s="2174"/>
      <c r="N257" s="2174"/>
      <c r="O257" s="2174"/>
      <c r="P257" s="2174"/>
      <c r="Q257" s="2174"/>
      <c r="R257" s="2174"/>
      <c r="S257" s="2174"/>
      <c r="T257" s="2174"/>
      <c r="U257" s="2174"/>
      <c r="V257" s="2174"/>
      <c r="W257" s="2174"/>
      <c r="X257" s="2174"/>
      <c r="Y257" s="2174"/>
      <c r="Z257" s="2174"/>
      <c r="AA257" s="2174"/>
      <c r="AB257" s="2174"/>
      <c r="AC257" s="2174"/>
    </row>
    <row r="258" spans="1:29">
      <c r="A258" s="2174"/>
      <c r="B258" s="2174"/>
      <c r="C258" s="2174"/>
      <c r="D258" s="2174"/>
      <c r="E258" s="2174"/>
      <c r="F258" s="2174"/>
      <c r="G258" s="2174"/>
      <c r="H258" s="2174"/>
      <c r="I258" s="2174"/>
      <c r="J258" s="2174"/>
      <c r="K258" s="2175"/>
      <c r="L258" s="2176"/>
      <c r="M258" s="2174"/>
      <c r="N258" s="2174"/>
      <c r="O258" s="2174"/>
      <c r="P258" s="2174"/>
      <c r="Q258" s="2174"/>
      <c r="R258" s="2174"/>
      <c r="S258" s="2174"/>
      <c r="T258" s="2174"/>
      <c r="U258" s="2174"/>
      <c r="V258" s="2174"/>
      <c r="W258" s="2174"/>
      <c r="X258" s="2174"/>
      <c r="Y258" s="2174"/>
      <c r="Z258" s="2174"/>
      <c r="AA258" s="2174"/>
      <c r="AB258" s="2174"/>
      <c r="AC258" s="2174"/>
    </row>
    <row r="259" spans="1:29">
      <c r="A259" s="2174"/>
      <c r="B259" s="2174"/>
      <c r="C259" s="2174"/>
      <c r="D259" s="2174"/>
      <c r="E259" s="2174"/>
      <c r="F259" s="2174"/>
      <c r="G259" s="2174"/>
      <c r="H259" s="2174"/>
      <c r="I259" s="2174"/>
      <c r="J259" s="2174"/>
      <c r="K259" s="2175"/>
      <c r="L259" s="2176"/>
      <c r="M259" s="2174"/>
      <c r="N259" s="2174"/>
      <c r="O259" s="2174"/>
      <c r="P259" s="2174"/>
      <c r="Q259" s="2174"/>
      <c r="R259" s="2174"/>
      <c r="S259" s="2174"/>
      <c r="T259" s="2174"/>
      <c r="U259" s="2174"/>
      <c r="V259" s="2174"/>
      <c r="W259" s="2174"/>
      <c r="X259" s="2174"/>
      <c r="Y259" s="2174"/>
      <c r="Z259" s="2174"/>
      <c r="AA259" s="2174"/>
      <c r="AB259" s="2174"/>
      <c r="AC259" s="2174"/>
    </row>
    <row r="260" spans="1:29">
      <c r="A260" s="2174"/>
      <c r="B260" s="2174"/>
      <c r="C260" s="2174"/>
      <c r="D260" s="2174"/>
      <c r="E260" s="2174"/>
      <c r="F260" s="2174"/>
      <c r="G260" s="2174"/>
      <c r="H260" s="2174"/>
      <c r="I260" s="2174"/>
      <c r="J260" s="2174"/>
      <c r="K260" s="2175"/>
      <c r="L260" s="2176"/>
      <c r="M260" s="2174"/>
      <c r="N260" s="2174"/>
      <c r="O260" s="2174"/>
      <c r="P260" s="2174"/>
      <c r="Q260" s="2174"/>
      <c r="R260" s="2174"/>
      <c r="S260" s="2174"/>
      <c r="T260" s="2174"/>
      <c r="U260" s="2174"/>
      <c r="V260" s="2174"/>
      <c r="W260" s="2174"/>
      <c r="X260" s="2174"/>
      <c r="Y260" s="2174"/>
      <c r="Z260" s="2174"/>
      <c r="AA260" s="2174"/>
      <c r="AB260" s="2174"/>
      <c r="AC260" s="2174"/>
    </row>
    <row r="261" spans="1:29">
      <c r="A261" s="2174"/>
      <c r="B261" s="2174"/>
      <c r="C261" s="2174"/>
      <c r="D261" s="2174"/>
      <c r="E261" s="2174"/>
      <c r="F261" s="2174"/>
      <c r="G261" s="2174"/>
      <c r="H261" s="2174"/>
      <c r="I261" s="2174"/>
      <c r="J261" s="2174"/>
      <c r="K261" s="2175"/>
      <c r="L261" s="2176"/>
      <c r="M261" s="2174"/>
      <c r="N261" s="2174"/>
      <c r="O261" s="2174"/>
      <c r="P261" s="2174"/>
      <c r="Q261" s="2174"/>
      <c r="R261" s="2174"/>
      <c r="S261" s="2174"/>
      <c r="T261" s="2174"/>
      <c r="U261" s="2174"/>
      <c r="V261" s="2174"/>
      <c r="W261" s="2174"/>
      <c r="X261" s="2174"/>
      <c r="Y261" s="2174"/>
      <c r="Z261" s="2174"/>
      <c r="AA261" s="2174"/>
      <c r="AB261" s="2174"/>
      <c r="AC261" s="2174"/>
    </row>
    <row r="262" spans="1:29">
      <c r="A262" s="2174"/>
      <c r="B262" s="2174"/>
      <c r="C262" s="2174"/>
      <c r="D262" s="2174"/>
      <c r="E262" s="2174"/>
      <c r="F262" s="2174"/>
      <c r="G262" s="2174"/>
      <c r="H262" s="2174"/>
      <c r="I262" s="2174"/>
      <c r="J262" s="2174"/>
      <c r="K262" s="2175"/>
      <c r="L262" s="2176"/>
      <c r="M262" s="2174"/>
      <c r="N262" s="2174"/>
      <c r="O262" s="2174"/>
      <c r="P262" s="2174"/>
      <c r="Q262" s="2174"/>
      <c r="R262" s="2174"/>
      <c r="S262" s="2174"/>
      <c r="T262" s="2174"/>
      <c r="U262" s="2174"/>
      <c r="V262" s="2174"/>
      <c r="W262" s="2174"/>
      <c r="X262" s="2174"/>
      <c r="Y262" s="2174"/>
      <c r="Z262" s="2174"/>
      <c r="AA262" s="2174"/>
      <c r="AB262" s="2174"/>
      <c r="AC262" s="2174"/>
    </row>
    <row r="263" spans="1:29">
      <c r="A263" s="2174"/>
      <c r="B263" s="2174"/>
      <c r="C263" s="2174"/>
      <c r="D263" s="2174"/>
      <c r="E263" s="2174"/>
      <c r="F263" s="2174"/>
      <c r="G263" s="2174"/>
      <c r="H263" s="2174"/>
      <c r="I263" s="2174"/>
      <c r="J263" s="2174"/>
      <c r="K263" s="2175"/>
      <c r="L263" s="2176"/>
      <c r="M263" s="2174"/>
      <c r="N263" s="2174"/>
      <c r="O263" s="2174"/>
      <c r="P263" s="2174"/>
      <c r="Q263" s="2174"/>
      <c r="R263" s="2174"/>
      <c r="S263" s="2174"/>
      <c r="T263" s="2174"/>
      <c r="U263" s="2174"/>
      <c r="V263" s="2174"/>
      <c r="W263" s="2174"/>
      <c r="X263" s="2174"/>
      <c r="Y263" s="2174"/>
      <c r="Z263" s="2174"/>
      <c r="AA263" s="2174"/>
      <c r="AB263" s="2174"/>
      <c r="AC263" s="2174"/>
    </row>
    <row r="264" spans="1:29">
      <c r="A264" s="2174"/>
      <c r="B264" s="2174"/>
      <c r="C264" s="2174"/>
      <c r="D264" s="2174"/>
      <c r="E264" s="2174"/>
      <c r="F264" s="2174"/>
      <c r="G264" s="2174"/>
      <c r="H264" s="2174"/>
      <c r="I264" s="2174"/>
      <c r="J264" s="2174"/>
      <c r="K264" s="2175"/>
      <c r="L264" s="2176"/>
      <c r="M264" s="2174"/>
      <c r="N264" s="2174"/>
      <c r="O264" s="2174"/>
      <c r="P264" s="2174"/>
      <c r="Q264" s="2174"/>
      <c r="R264" s="2174"/>
      <c r="S264" s="2174"/>
      <c r="T264" s="2174"/>
      <c r="U264" s="2174"/>
      <c r="V264" s="2174"/>
      <c r="W264" s="2174"/>
      <c r="X264" s="2174"/>
      <c r="Y264" s="2174"/>
      <c r="Z264" s="2174"/>
      <c r="AA264" s="2174"/>
      <c r="AB264" s="2174"/>
      <c r="AC264" s="2174"/>
    </row>
    <row r="265" spans="1:29">
      <c r="A265" s="2174"/>
      <c r="B265" s="2174"/>
      <c r="C265" s="2174"/>
      <c r="D265" s="2174"/>
      <c r="E265" s="2174"/>
      <c r="F265" s="2174"/>
      <c r="G265" s="2174"/>
      <c r="H265" s="2174"/>
      <c r="I265" s="2174"/>
      <c r="J265" s="2174"/>
      <c r="K265" s="2175"/>
      <c r="L265" s="2176"/>
      <c r="M265" s="2174"/>
      <c r="N265" s="2174"/>
      <c r="O265" s="2174"/>
      <c r="P265" s="2174"/>
      <c r="Q265" s="2174"/>
      <c r="R265" s="2174"/>
      <c r="S265" s="2174"/>
      <c r="T265" s="2174"/>
      <c r="U265" s="2174"/>
      <c r="V265" s="2174"/>
      <c r="W265" s="2174"/>
      <c r="X265" s="2174"/>
      <c r="Y265" s="2174"/>
      <c r="Z265" s="2174"/>
      <c r="AA265" s="2174"/>
      <c r="AB265" s="2174"/>
      <c r="AC265" s="2174"/>
    </row>
    <row r="266" spans="1:29">
      <c r="A266" s="2174"/>
      <c r="B266" s="2174"/>
      <c r="C266" s="2174"/>
      <c r="D266" s="2174"/>
      <c r="E266" s="2174"/>
      <c r="F266" s="2174"/>
      <c r="G266" s="2174"/>
      <c r="H266" s="2174"/>
      <c r="I266" s="2174"/>
      <c r="J266" s="2174"/>
      <c r="K266" s="2175"/>
      <c r="L266" s="2176"/>
      <c r="M266" s="2174"/>
      <c r="N266" s="2174"/>
      <c r="O266" s="2174"/>
      <c r="P266" s="2174"/>
      <c r="Q266" s="2174"/>
      <c r="R266" s="2174"/>
      <c r="S266" s="2174"/>
      <c r="T266" s="2174"/>
      <c r="U266" s="2174"/>
      <c r="V266" s="2174"/>
      <c r="W266" s="2174"/>
      <c r="X266" s="2174"/>
      <c r="Y266" s="2174"/>
      <c r="Z266" s="2174"/>
      <c r="AA266" s="2174"/>
      <c r="AB266" s="2174"/>
      <c r="AC266" s="2174"/>
    </row>
    <row r="267" spans="1:29">
      <c r="A267" s="2174"/>
      <c r="B267" s="2174"/>
      <c r="C267" s="2174"/>
      <c r="D267" s="2174"/>
      <c r="E267" s="2174"/>
      <c r="F267" s="2174"/>
      <c r="G267" s="2174"/>
      <c r="H267" s="2174"/>
      <c r="I267" s="2174"/>
      <c r="J267" s="2174"/>
      <c r="K267" s="2175"/>
      <c r="L267" s="2176"/>
      <c r="M267" s="2174"/>
      <c r="N267" s="2174"/>
      <c r="O267" s="2174"/>
      <c r="P267" s="2174"/>
      <c r="Q267" s="2174"/>
      <c r="R267" s="2174"/>
      <c r="S267" s="2174"/>
      <c r="T267" s="2174"/>
      <c r="U267" s="2174"/>
      <c r="V267" s="2174"/>
      <c r="W267" s="2174"/>
      <c r="X267" s="2174"/>
      <c r="Y267" s="2174"/>
      <c r="Z267" s="2174"/>
      <c r="AA267" s="2174"/>
      <c r="AB267" s="2174"/>
      <c r="AC267" s="2174"/>
    </row>
    <row r="268" spans="1:29">
      <c r="A268" s="2174"/>
      <c r="B268" s="2174"/>
      <c r="C268" s="2174"/>
      <c r="D268" s="2174"/>
      <c r="E268" s="2174"/>
      <c r="F268" s="2174"/>
      <c r="G268" s="2174"/>
      <c r="H268" s="2174"/>
      <c r="I268" s="2174"/>
      <c r="J268" s="2174"/>
      <c r="K268" s="2175"/>
      <c r="L268" s="2176"/>
      <c r="M268" s="2174"/>
      <c r="N268" s="2174"/>
      <c r="O268" s="2174"/>
      <c r="P268" s="2174"/>
      <c r="Q268" s="2174"/>
      <c r="R268" s="2174"/>
      <c r="S268" s="2174"/>
      <c r="T268" s="2174"/>
      <c r="U268" s="2174"/>
      <c r="V268" s="2174"/>
      <c r="W268" s="2174"/>
      <c r="X268" s="2174"/>
      <c r="Y268" s="2174"/>
      <c r="Z268" s="2174"/>
      <c r="AA268" s="2174"/>
      <c r="AB268" s="2174"/>
      <c r="AC268" s="2174"/>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124" priority="14" stopIfTrue="1" operator="containsText" text="超过">
      <formula>NOT(ISERROR(SEARCH("超过",F52)))</formula>
    </cfRule>
  </conditionalFormatting>
  <conditionalFormatting sqref="J54">
    <cfRule type="containsText" dxfId="123" priority="13" stopIfTrue="1" operator="containsText" text="超过">
      <formula>NOT(ISERROR(SEARCH("超过",J54)))</formula>
    </cfRule>
  </conditionalFormatting>
  <conditionalFormatting sqref="H54">
    <cfRule type="containsText" dxfId="122" priority="12" stopIfTrue="1" operator="containsText" text="超过">
      <formula>NOT(ISERROR(SEARCH("超过",H54)))</formula>
    </cfRule>
  </conditionalFormatting>
  <conditionalFormatting sqref="F54">
    <cfRule type="containsText" dxfId="121" priority="11" stopIfTrue="1" operator="containsText" text="超过">
      <formula>NOT(ISERROR(SEARCH("超过",F54)))</formula>
    </cfRule>
  </conditionalFormatting>
  <conditionalFormatting sqref="F53 H53 J53">
    <cfRule type="containsText" dxfId="120" priority="10" stopIfTrue="1" operator="containsText" text="超过">
      <formula>NOT(ISERROR(SEARCH("超过",F53)))</formula>
    </cfRule>
  </conditionalFormatting>
  <conditionalFormatting sqref="E52">
    <cfRule type="expression" dxfId="119" priority="9" stopIfTrue="1">
      <formula>$F$52="超过30%"</formula>
    </cfRule>
  </conditionalFormatting>
  <conditionalFormatting sqref="G54">
    <cfRule type="expression" dxfId="118" priority="8" stopIfTrue="1">
      <formula>$H$54="超过30%"</formula>
    </cfRule>
  </conditionalFormatting>
  <conditionalFormatting sqref="E53">
    <cfRule type="expression" dxfId="117" priority="7" stopIfTrue="1">
      <formula>$F$53="超过20%"</formula>
    </cfRule>
  </conditionalFormatting>
  <conditionalFormatting sqref="E54">
    <cfRule type="expression" dxfId="116" priority="6" stopIfTrue="1">
      <formula>$F$54="超过30%"</formula>
    </cfRule>
  </conditionalFormatting>
  <conditionalFormatting sqref="G52">
    <cfRule type="expression" dxfId="115" priority="5" stopIfTrue="1">
      <formula>$H$52="超过30%"</formula>
    </cfRule>
  </conditionalFormatting>
  <conditionalFormatting sqref="G53">
    <cfRule type="expression" dxfId="114" priority="4" stopIfTrue="1">
      <formula>$H$53="超过20%"</formula>
    </cfRule>
  </conditionalFormatting>
  <conditionalFormatting sqref="I52">
    <cfRule type="expression" dxfId="113" priority="3" stopIfTrue="1">
      <formula>$J$52="超过30%"</formula>
    </cfRule>
  </conditionalFormatting>
  <conditionalFormatting sqref="I53">
    <cfRule type="expression" dxfId="112" priority="2" stopIfTrue="1">
      <formula>$J$53="超过20%"</formula>
    </cfRule>
  </conditionalFormatting>
  <conditionalFormatting sqref="I54">
    <cfRule type="expression" dxfId="111"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G22 E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C24 I24 G24">
      <formula1>环境</formula1>
    </dataValidation>
  </dataValidations>
  <pageMargins left="0.70866141732283472" right="0.70866141732283472" top="1.0629921259842521" bottom="0.94488188976377963" header="0.31496062992125984" footer="0.31496062992125984"/>
  <pageSetup paperSize="9" scale="63"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3" zoomScale="85" zoomScaleNormal="85" workbookViewId="0">
      <selection activeCell="D46" sqref="D46"/>
    </sheetView>
  </sheetViews>
  <sheetFormatPr defaultRowHeight="15"/>
  <cols>
    <col min="1" max="1" width="9" style="2055" customWidth="1"/>
    <col min="2" max="2" width="20.625" style="2094" customWidth="1"/>
    <col min="3" max="3" width="11.875" style="2094" customWidth="1"/>
    <col min="4" max="4" width="40.5" style="2055" customWidth="1"/>
    <col min="5" max="5" width="15.75" style="2055" customWidth="1"/>
    <col min="6" max="6" width="10.625" style="2055" customWidth="1"/>
    <col min="7" max="7" width="4.875" style="2055" customWidth="1"/>
    <col min="8" max="8" width="8.5" style="2055" customWidth="1"/>
    <col min="9" max="9" width="21.25" style="2055" customWidth="1"/>
    <col min="10" max="10" width="12.25" style="2055" customWidth="1"/>
    <col min="11" max="11" width="40.125" style="2095" customWidth="1"/>
    <col min="12" max="12" width="18.375" style="2055" customWidth="1"/>
    <col min="13" max="13" width="13" style="2055" customWidth="1"/>
    <col min="14" max="14" width="9.5" style="2054" bestFit="1" customWidth="1"/>
    <col min="15" max="15" width="5.875" style="2054" customWidth="1"/>
    <col min="16" max="16" width="27.625" style="2054" customWidth="1"/>
    <col min="17" max="17" width="13.75" style="2092" customWidth="1"/>
    <col min="18" max="18" width="23.5" style="2054" customWidth="1"/>
    <col min="19" max="19" width="1.5" style="2054" customWidth="1"/>
    <col min="20" max="33" width="9" style="2054"/>
    <col min="34" max="16384" width="9" style="2055"/>
  </cols>
  <sheetData>
    <row r="1" spans="1:33" s="2049" customFormat="1" ht="21">
      <c r="A1" s="828" t="s">
        <v>1719</v>
      </c>
      <c r="B1" s="734"/>
      <c r="C1" s="769" t="s">
        <v>3000</v>
      </c>
      <c r="D1" s="3148" t="s">
        <v>945</v>
      </c>
      <c r="E1" s="2406" t="s">
        <v>2369</v>
      </c>
      <c r="F1" s="2407">
        <f ca="1">J53</f>
        <v>39.68</v>
      </c>
      <c r="G1" s="770">
        <f>MATCH(C1,'数据-取费表'!A6:A16,0)+5</f>
        <v>8</v>
      </c>
      <c r="H1" s="2045"/>
      <c r="I1" s="2046"/>
      <c r="J1" s="2046"/>
      <c r="K1" s="2047"/>
      <c r="L1" s="2046"/>
      <c r="M1" s="2046"/>
      <c r="N1" s="2048"/>
      <c r="O1" s="2048"/>
      <c r="P1" s="2048"/>
      <c r="Q1" s="2411"/>
      <c r="R1" s="2048"/>
      <c r="S1" s="2048"/>
      <c r="T1" s="2048"/>
      <c r="U1" s="2048"/>
      <c r="V1" s="2048"/>
      <c r="W1" s="2048"/>
      <c r="X1" s="2048"/>
      <c r="Y1" s="2048"/>
      <c r="Z1" s="2048"/>
      <c r="AA1" s="2048"/>
      <c r="AB1" s="2048"/>
      <c r="AC1" s="2048"/>
      <c r="AD1" s="2048"/>
      <c r="AE1" s="2048"/>
      <c r="AF1" s="2048"/>
      <c r="AG1" s="2048"/>
    </row>
    <row r="2" spans="1:33" ht="18" customHeight="1">
      <c r="A2" s="421" t="s">
        <v>1720</v>
      </c>
      <c r="B2" s="771">
        <f ca="1">C40+J29+L46</f>
        <v>25559</v>
      </c>
      <c r="C2" s="2052"/>
      <c r="D2" s="2050"/>
      <c r="E2" s="2051"/>
      <c r="F2" s="2051"/>
      <c r="G2" s="1585"/>
      <c r="H2" s="2052"/>
      <c r="I2" s="2052"/>
      <c r="J2" s="2052"/>
      <c r="K2" s="2053"/>
      <c r="L2" s="2052"/>
      <c r="M2" s="2052"/>
    </row>
    <row r="3" spans="1:33" ht="18" customHeight="1" thickBot="1">
      <c r="A3" s="829" t="s">
        <v>1721</v>
      </c>
      <c r="B3" s="830">
        <f ca="1">IF(ISERROR(B2*10000/F43),0,ROUND(B2*10000/F43,0))</f>
        <v>32768</v>
      </c>
      <c r="C3" s="2052"/>
      <c r="D3" s="2050"/>
      <c r="E3" s="2051"/>
      <c r="F3" s="2051"/>
      <c r="G3" s="1585"/>
      <c r="H3" s="772" t="s">
        <v>689</v>
      </c>
      <c r="I3" s="1358"/>
      <c r="J3" s="1358"/>
      <c r="K3" s="1586"/>
      <c r="L3" s="1358"/>
      <c r="M3" s="1358"/>
    </row>
    <row r="4" spans="1:33" ht="18" customHeight="1">
      <c r="A4" s="773" t="s">
        <v>1722</v>
      </c>
      <c r="B4" s="774" t="s">
        <v>1723</v>
      </c>
      <c r="C4" s="774" t="s">
        <v>1724</v>
      </c>
      <c r="D4" s="774" t="s">
        <v>627</v>
      </c>
      <c r="E4" s="775" t="s">
        <v>1725</v>
      </c>
      <c r="F4" s="776"/>
      <c r="G4" s="1587"/>
      <c r="H4" s="773" t="s">
        <v>1726</v>
      </c>
      <c r="I4" s="774" t="s">
        <v>1727</v>
      </c>
      <c r="J4" s="774" t="s">
        <v>1728</v>
      </c>
      <c r="K4" s="774" t="s">
        <v>1729</v>
      </c>
      <c r="L4" s="775" t="s">
        <v>1730</v>
      </c>
      <c r="M4" s="776"/>
    </row>
    <row r="5" spans="1:33" ht="18" customHeight="1">
      <c r="A5" s="777">
        <v>1</v>
      </c>
      <c r="B5" s="778" t="s">
        <v>2454</v>
      </c>
      <c r="C5" s="55">
        <f ca="1">C6+C10+C12</f>
        <v>1411</v>
      </c>
      <c r="D5" s="2515" t="s">
        <v>2457</v>
      </c>
      <c r="E5" s="2509"/>
      <c r="F5" s="2510"/>
      <c r="G5" s="1587"/>
      <c r="H5" s="777">
        <v>1</v>
      </c>
      <c r="I5" s="778" t="s">
        <v>2454</v>
      </c>
      <c r="J5" s="55">
        <f ca="1">J6+J10+J12</f>
        <v>0</v>
      </c>
      <c r="K5" s="2515" t="s">
        <v>2457</v>
      </c>
      <c r="L5" s="2509"/>
      <c r="M5" s="2510"/>
    </row>
    <row r="6" spans="1:33" ht="18" customHeight="1">
      <c r="A6" s="1825" t="s">
        <v>1818</v>
      </c>
      <c r="B6" s="3523" t="s">
        <v>2459</v>
      </c>
      <c r="C6" s="779">
        <f ca="1">ROUND(F6*F8*F7*(1-F9)/10000,0)</f>
        <v>1409</v>
      </c>
      <c r="D6" s="2516" t="s">
        <v>2458</v>
      </c>
      <c r="E6" s="780" t="s">
        <v>1732</v>
      </c>
      <c r="F6" s="781">
        <f ca="1">INDIRECT("'数据-取费表'!u"&amp;$G$1)</f>
        <v>5.5</v>
      </c>
      <c r="G6" s="1587"/>
      <c r="H6" s="2523" t="s">
        <v>2465</v>
      </c>
      <c r="I6" s="3523" t="s">
        <v>2459</v>
      </c>
      <c r="J6" s="779">
        <f ca="1">ROUND(M6*M8*M7*(1-M9)/10000,0)</f>
        <v>0</v>
      </c>
      <c r="K6" s="339" t="s">
        <v>1731</v>
      </c>
      <c r="L6" s="780" t="s">
        <v>1732</v>
      </c>
      <c r="M6" s="781">
        <f ca="1">INDIRECT("'数据-取费表'!z"&amp;$G$1)</f>
        <v>0</v>
      </c>
    </row>
    <row r="7" spans="1:33" ht="18" customHeight="1">
      <c r="A7" s="2519"/>
      <c r="B7" s="3524"/>
      <c r="C7" s="784"/>
      <c r="D7" s="785"/>
      <c r="E7" s="780" t="s">
        <v>1733</v>
      </c>
      <c r="F7" s="781">
        <f ca="1">IF(INDIRECT("'数据-取费表'!ah"&amp;$G$1)="",INDIRECT("'数据-取费表'!k"&amp;$G$1),INDIRECT("'数据-取费表'!ah"&amp;$G$1))</f>
        <v>7800</v>
      </c>
      <c r="G7" s="1587"/>
      <c r="H7" s="2508"/>
      <c r="I7" s="3524"/>
      <c r="J7" s="784"/>
      <c r="K7" s="785"/>
      <c r="L7" s="780" t="s">
        <v>1733</v>
      </c>
      <c r="M7" s="781">
        <f ca="1">F7</f>
        <v>7800</v>
      </c>
    </row>
    <row r="8" spans="1:33" ht="18" customHeight="1">
      <c r="A8" s="2512"/>
      <c r="B8" s="3525"/>
      <c r="C8" s="784"/>
      <c r="D8" s="785"/>
      <c r="E8" s="780" t="s">
        <v>1734</v>
      </c>
      <c r="F8" s="781">
        <f ca="1">INDIRECT("'数据-取费表'!ai"&amp;$G$1)</f>
        <v>365</v>
      </c>
      <c r="G8" s="1587"/>
      <c r="H8" s="2508"/>
      <c r="I8" s="3525"/>
      <c r="J8" s="784"/>
      <c r="K8" s="785"/>
      <c r="L8" s="780" t="s">
        <v>1734</v>
      </c>
      <c r="M8" s="781">
        <f ca="1">INDIRECT("'数据-取费表'!ai"&amp;$G$1)</f>
        <v>365</v>
      </c>
    </row>
    <row r="9" spans="1:33" ht="18" customHeight="1">
      <c r="A9" s="782"/>
      <c r="B9" s="3526"/>
      <c r="C9" s="784"/>
      <c r="D9" s="785"/>
      <c r="E9" s="780" t="s">
        <v>1735</v>
      </c>
      <c r="F9" s="790">
        <f ca="1">INDIRECT("'数据-取费表'!w"&amp;$G$1)</f>
        <v>0.1</v>
      </c>
      <c r="G9" s="1587"/>
      <c r="H9" s="2524"/>
      <c r="I9" s="3525"/>
      <c r="J9" s="784"/>
      <c r="K9" s="785"/>
      <c r="L9" s="791" t="s">
        <v>1735</v>
      </c>
      <c r="M9" s="792">
        <f ca="1">INDIRECT("'数据-取费表'!ab"&amp;$G$1)</f>
        <v>0</v>
      </c>
    </row>
    <row r="10" spans="1:33" ht="18" customHeight="1">
      <c r="A10" s="1825" t="s">
        <v>2463</v>
      </c>
      <c r="B10" s="2513" t="s">
        <v>2455</v>
      </c>
      <c r="C10" s="795">
        <f ca="1">ROUND(IF(F10="押一",F6*F8*F7/12*F11,IF(F10="押二",F6*F8*F7/12*2*F11,IF(F10="押三",F6*F8*F7/12*3*F11,C11*F11)))/10000,0)</f>
        <v>2</v>
      </c>
      <c r="D10" s="2520" t="s">
        <v>2462</v>
      </c>
      <c r="E10" s="2517" t="s">
        <v>2460</v>
      </c>
      <c r="F10" s="2640" t="s">
        <v>3006</v>
      </c>
      <c r="G10" s="1587"/>
      <c r="H10" s="2580" t="s">
        <v>2466</v>
      </c>
      <c r="I10" s="2585" t="s">
        <v>2455</v>
      </c>
      <c r="J10" s="779">
        <f ca="1">ROUND(IF(M10="押一",M6*M8*M7/12*M11,IF(M10="押二",M6*M8*M7/12*2*M11,IF(M10="押三",M6*M8*M7/12*3*M11,J11*M11)))/10000,0)</f>
        <v>0</v>
      </c>
      <c r="K10" s="2520" t="s">
        <v>2462</v>
      </c>
      <c r="L10" s="2517" t="s">
        <v>2460</v>
      </c>
      <c r="M10" s="2640"/>
    </row>
    <row r="11" spans="1:33" ht="18" customHeight="1">
      <c r="A11" s="786"/>
      <c r="B11" s="2514" t="s">
        <v>2570</v>
      </c>
      <c r="C11" s="2518"/>
      <c r="D11" s="785"/>
      <c r="E11" s="2517" t="s">
        <v>2461</v>
      </c>
      <c r="F11" s="792">
        <f ca="1">'数据-取费表'!B39</f>
        <v>1.4999999999999999E-2</v>
      </c>
      <c r="G11" s="1587"/>
      <c r="H11" s="2581"/>
      <c r="I11" s="2514" t="s">
        <v>2570</v>
      </c>
      <c r="J11" s="2518"/>
      <c r="K11" s="2582"/>
      <c r="L11" s="2517" t="s">
        <v>2461</v>
      </c>
      <c r="M11" s="2511">
        <f ca="1">'数据-取费表'!B39</f>
        <v>1.4999999999999999E-2</v>
      </c>
    </row>
    <row r="12" spans="1:33" ht="18" customHeight="1" thickBot="1">
      <c r="A12" s="2556" t="s">
        <v>2464</v>
      </c>
      <c r="B12" s="2557" t="s">
        <v>2456</v>
      </c>
      <c r="C12" s="2558"/>
      <c r="D12" s="2559"/>
      <c r="E12" s="2560"/>
      <c r="F12" s="2561"/>
      <c r="G12" s="1587"/>
      <c r="H12" s="2570" t="s">
        <v>2467</v>
      </c>
      <c r="I12" s="2583" t="s">
        <v>2456</v>
      </c>
      <c r="J12" s="2584"/>
      <c r="K12" s="2559"/>
      <c r="L12" s="2560"/>
      <c r="M12" s="2573"/>
    </row>
    <row r="13" spans="1:33" ht="18" customHeight="1" thickTop="1">
      <c r="A13" s="1824">
        <v>2</v>
      </c>
      <c r="B13" s="1822" t="s">
        <v>1736</v>
      </c>
      <c r="C13" s="788">
        <f ca="1">ROUND(C29*F13,0)</f>
        <v>3941</v>
      </c>
      <c r="D13" s="1829" t="s">
        <v>2292</v>
      </c>
      <c r="E13" s="1829" t="s">
        <v>1738</v>
      </c>
      <c r="F13" s="2555">
        <f ca="1">INDIRECT("'数据-取费表'!y"&amp;$G$1)</f>
        <v>1</v>
      </c>
      <c r="G13" s="1587"/>
      <c r="H13" s="1824">
        <v>2</v>
      </c>
      <c r="I13" s="1822" t="s">
        <v>1736</v>
      </c>
      <c r="J13" s="1814">
        <f ca="1">ROUND(J14*J15,0)</f>
        <v>0</v>
      </c>
      <c r="K13" s="1816" t="s">
        <v>1737</v>
      </c>
      <c r="L13" s="2571"/>
      <c r="M13" s="2572"/>
    </row>
    <row r="14" spans="1:33" ht="18" customHeight="1">
      <c r="A14" s="1643" t="s">
        <v>1878</v>
      </c>
      <c r="B14" s="780" t="s">
        <v>639</v>
      </c>
      <c r="C14" s="800">
        <f ca="1">INDIRECT("'数据-取费表'!m"&amp;$G$1)+INDIRECT("'数据-取费表'!t"&amp;$G$1)</f>
        <v>2362</v>
      </c>
      <c r="D14" s="1974" t="s">
        <v>1739</v>
      </c>
      <c r="E14" s="1975"/>
      <c r="F14" s="801"/>
      <c r="G14" s="1587"/>
      <c r="H14" s="1644" t="s">
        <v>1824</v>
      </c>
      <c r="I14" s="2226" t="s">
        <v>2825</v>
      </c>
      <c r="J14" s="53">
        <f ca="1">C29</f>
        <v>3941</v>
      </c>
      <c r="K14" s="26"/>
      <c r="L14" s="797"/>
      <c r="M14" s="798"/>
    </row>
    <row r="15" spans="1:33" s="2059" customFormat="1" ht="18" customHeight="1" thickBot="1">
      <c r="A15" s="1643" t="s">
        <v>1879</v>
      </c>
      <c r="B15" s="780" t="s">
        <v>641</v>
      </c>
      <c r="C15" s="53">
        <f ca="1">ROUND(C14*F15,0)</f>
        <v>118</v>
      </c>
      <c r="D15" s="802" t="s">
        <v>1740</v>
      </c>
      <c r="E15" s="802" t="s">
        <v>1741</v>
      </c>
      <c r="F15" s="803">
        <f>'数据-取费表'!B33</f>
        <v>0.05</v>
      </c>
      <c r="G15" s="1588"/>
      <c r="H15" s="2570" t="s">
        <v>1883</v>
      </c>
      <c r="I15" s="2565" t="s">
        <v>1738</v>
      </c>
      <c r="J15" s="2574">
        <f ca="1">INDIRECT("'数据-取费表'!ad"&amp;$G$1)</f>
        <v>0</v>
      </c>
      <c r="K15" s="2575"/>
      <c r="L15" s="2576"/>
      <c r="M15" s="2577"/>
      <c r="N15" s="2058"/>
      <c r="O15" s="2058"/>
      <c r="P15" s="2058"/>
      <c r="Q15" s="2412"/>
      <c r="R15" s="2058"/>
      <c r="S15" s="2058"/>
      <c r="T15" s="2058"/>
      <c r="U15" s="2058"/>
      <c r="V15" s="2058"/>
      <c r="W15" s="2058"/>
      <c r="X15" s="2058"/>
      <c r="Y15" s="2058"/>
      <c r="Z15" s="2058"/>
      <c r="AA15" s="2058"/>
      <c r="AB15" s="2058"/>
      <c r="AC15" s="2058"/>
      <c r="AD15" s="2058"/>
      <c r="AE15" s="2058"/>
      <c r="AF15" s="2058"/>
      <c r="AG15" s="2058"/>
    </row>
    <row r="16" spans="1:33" ht="18" customHeight="1" thickTop="1">
      <c r="A16" s="1643" t="s">
        <v>1880</v>
      </c>
      <c r="B16" s="780" t="s">
        <v>644</v>
      </c>
      <c r="C16" s="53">
        <f ca="1">ROUND(INDIRECT("'数据-取费表'!m"&amp;$G$1)*F16,0)</f>
        <v>0</v>
      </c>
      <c r="D16" s="780" t="s">
        <v>1740</v>
      </c>
      <c r="E16" s="780" t="s">
        <v>1741</v>
      </c>
      <c r="F16" s="805">
        <f ca="1">IF(INDIRECT("'数据-取费表'!c"&amp;$G$1)="住宅",'数据-取费表'!B34,0)</f>
        <v>0</v>
      </c>
      <c r="G16" s="1587"/>
      <c r="H16" s="1824" t="s">
        <v>1742</v>
      </c>
      <c r="I16" s="1822" t="s">
        <v>1743</v>
      </c>
      <c r="J16" s="788">
        <f ca="1">ROUND(J17+J22+J23+J24,0)</f>
        <v>97</v>
      </c>
      <c r="K16" s="1816" t="s">
        <v>1744</v>
      </c>
      <c r="L16" s="2505"/>
      <c r="M16" s="2510"/>
    </row>
    <row r="17" spans="1:33" s="2059" customFormat="1" ht="18" customHeight="1">
      <c r="A17" s="1643" t="s">
        <v>1881</v>
      </c>
      <c r="B17" s="780" t="s">
        <v>647</v>
      </c>
      <c r="C17" s="53">
        <f ca="1">ROUND(F17*(F43+INDIRECT("'数据-取费表'!S"&amp;$G$1))/10000,0)</f>
        <v>174</v>
      </c>
      <c r="D17" s="780" t="s">
        <v>1745</v>
      </c>
      <c r="E17" s="780" t="s">
        <v>1746</v>
      </c>
      <c r="F17" s="56">
        <f>'数据-取费表'!B35</f>
        <v>200</v>
      </c>
      <c r="G17" s="1588"/>
      <c r="H17" s="1644" t="s">
        <v>1824</v>
      </c>
      <c r="I17" s="780" t="s">
        <v>650</v>
      </c>
      <c r="J17" s="53">
        <f ca="1">ROUND(IF(项目基本情况!B11="自然人",J5*M17,J18+J19+J20),0)</f>
        <v>38</v>
      </c>
      <c r="K17" s="2504" t="s">
        <v>1747</v>
      </c>
      <c r="L17" s="2503" t="s">
        <v>1748</v>
      </c>
      <c r="M17" s="806" t="str">
        <f ca="1">IF(项目基本情况!B11="企业","",IF(INDIRECT("'数据-取费表'!c"&amp;$G$1)="住宅",5%,IF(M6*M7*M8/12/(1+'数据-取费表'!C42)&gt;20000,12%,7%)))</f>
        <v/>
      </c>
      <c r="N17" s="2058"/>
      <c r="O17" s="2058"/>
      <c r="P17" s="2058"/>
      <c r="Q17" s="2412"/>
      <c r="R17" s="2058"/>
      <c r="S17" s="2058"/>
      <c r="T17" s="2058"/>
      <c r="U17" s="2058"/>
      <c r="V17" s="2058"/>
      <c r="W17" s="2058"/>
      <c r="X17" s="2058"/>
      <c r="Y17" s="2058"/>
      <c r="Z17" s="2058"/>
      <c r="AA17" s="2058"/>
      <c r="AB17" s="2058"/>
      <c r="AC17" s="2058"/>
      <c r="AD17" s="2058"/>
      <c r="AE17" s="2058"/>
      <c r="AF17" s="2058"/>
      <c r="AG17" s="2058"/>
    </row>
    <row r="18" spans="1:33" s="2059" customFormat="1" ht="18" customHeight="1">
      <c r="A18" s="1643" t="s">
        <v>1882</v>
      </c>
      <c r="B18" s="780" t="s">
        <v>653</v>
      </c>
      <c r="C18" s="53">
        <f ca="1">ROUND(C14*F18,0)</f>
        <v>35</v>
      </c>
      <c r="D18" s="780" t="s">
        <v>1740</v>
      </c>
      <c r="E18" s="780" t="s">
        <v>1741</v>
      </c>
      <c r="F18" s="805">
        <f>'数据-取费表'!B36</f>
        <v>1.4999999999999999E-2</v>
      </c>
      <c r="G18" s="1588"/>
      <c r="H18" s="1643" t="s">
        <v>1878</v>
      </c>
      <c r="I18" s="780" t="s">
        <v>1749</v>
      </c>
      <c r="J18" s="53">
        <f ca="1">ROUND(J5*M18/1.05,1)</f>
        <v>0</v>
      </c>
      <c r="K18" s="2503" t="s">
        <v>1750</v>
      </c>
      <c r="L18" s="780" t="s">
        <v>1741</v>
      </c>
      <c r="M18" s="805">
        <f>'数据-取费表'!B41</f>
        <v>5.6000000000000001E-2</v>
      </c>
      <c r="N18" s="2058"/>
      <c r="O18" s="2058"/>
      <c r="P18" s="2058"/>
      <c r="Q18" s="2412"/>
      <c r="R18" s="2058"/>
      <c r="S18" s="2058"/>
      <c r="T18" s="2058"/>
      <c r="U18" s="2058"/>
      <c r="V18" s="2058"/>
      <c r="W18" s="2058"/>
      <c r="X18" s="2058"/>
      <c r="Y18" s="2058"/>
      <c r="Z18" s="2058"/>
      <c r="AA18" s="2058"/>
      <c r="AB18" s="2058"/>
      <c r="AC18" s="2058"/>
      <c r="AD18" s="2058"/>
      <c r="AE18" s="2058"/>
      <c r="AF18" s="2058"/>
      <c r="AG18" s="2058"/>
    </row>
    <row r="19" spans="1:33" ht="18" customHeight="1">
      <c r="A19" s="1644" t="s">
        <v>1824</v>
      </c>
      <c r="B19" s="780" t="s">
        <v>656</v>
      </c>
      <c r="C19" s="53">
        <f ca="1">SUM(C14:C18)</f>
        <v>2689</v>
      </c>
      <c r="D19" s="256" t="s">
        <v>1751</v>
      </c>
      <c r="E19" s="1977"/>
      <c r="F19" s="56"/>
      <c r="G19" s="1587"/>
      <c r="H19" s="1643" t="s">
        <v>1879</v>
      </c>
      <c r="I19" s="780" t="s">
        <v>1752</v>
      </c>
      <c r="J19" s="53">
        <f ca="1">IF(K19="按租金收入计税",ROUND(J5*M19,1),ROUND(C29*F33*0.7,1))</f>
        <v>33.1</v>
      </c>
      <c r="K19" s="807" t="s">
        <v>659</v>
      </c>
      <c r="L19" s="780" t="s">
        <v>1741</v>
      </c>
      <c r="M19" s="805">
        <f>IF(K19="按租金收入计税",'数据-取费表'!B51,'数据-取费表'!B50)</f>
        <v>1.2E-2</v>
      </c>
    </row>
    <row r="20" spans="1:33" s="2059" customFormat="1" ht="18" customHeight="1">
      <c r="A20" s="1644" t="s">
        <v>1883</v>
      </c>
      <c r="B20" s="780" t="s">
        <v>660</v>
      </c>
      <c r="C20" s="53">
        <f ca="1">ROUND(C19*F20,0)</f>
        <v>54</v>
      </c>
      <c r="D20" s="808" t="s">
        <v>1753</v>
      </c>
      <c r="E20" s="780" t="s">
        <v>1741</v>
      </c>
      <c r="F20" s="805">
        <f>'数据-取费表'!B37</f>
        <v>0.02</v>
      </c>
      <c r="G20" s="1588"/>
      <c r="H20" s="1646" t="s">
        <v>1874</v>
      </c>
      <c r="I20" s="339" t="s">
        <v>1754</v>
      </c>
      <c r="J20" s="54">
        <f ca="1">ROUND(M20*M21/10000,0)</f>
        <v>5</v>
      </c>
      <c r="K20" s="810" t="s">
        <v>1755</v>
      </c>
      <c r="L20" s="780" t="s">
        <v>1756</v>
      </c>
      <c r="M20" s="636">
        <f>'数据-取费表'!B52</f>
        <v>20</v>
      </c>
      <c r="N20" s="2058"/>
      <c r="O20" s="2058"/>
      <c r="P20" s="2058"/>
      <c r="Q20" s="2412"/>
      <c r="R20" s="2058"/>
      <c r="S20" s="2058"/>
      <c r="T20" s="2058"/>
      <c r="U20" s="2058"/>
      <c r="V20" s="2058"/>
      <c r="W20" s="2058"/>
      <c r="X20" s="2058"/>
      <c r="Y20" s="2058"/>
      <c r="Z20" s="2058"/>
      <c r="AA20" s="2058"/>
      <c r="AB20" s="2058"/>
      <c r="AC20" s="2058"/>
      <c r="AD20" s="2058"/>
      <c r="AE20" s="2058"/>
      <c r="AF20" s="2058"/>
      <c r="AG20" s="2058"/>
    </row>
    <row r="21" spans="1:33" s="2059" customFormat="1" ht="18" customHeight="1">
      <c r="A21" s="1644" t="s">
        <v>1884</v>
      </c>
      <c r="B21" s="780" t="s">
        <v>1757</v>
      </c>
      <c r="C21" s="53" t="s">
        <v>1758</v>
      </c>
      <c r="D21" s="808" t="s">
        <v>2293</v>
      </c>
      <c r="E21" s="780" t="s">
        <v>1759</v>
      </c>
      <c r="F21" s="805">
        <f>'数据-取费表'!B38</f>
        <v>0.02</v>
      </c>
      <c r="G21" s="1588"/>
      <c r="H21" s="2525"/>
      <c r="I21" s="789"/>
      <c r="J21" s="69"/>
      <c r="K21" s="812"/>
      <c r="L21" s="780" t="s">
        <v>1760</v>
      </c>
      <c r="M21" s="781">
        <f ca="1">INDIRECT("'数据-取费表'!r"&amp;$G$1)</f>
        <v>2554.5300000000002</v>
      </c>
      <c r="N21" s="2058"/>
      <c r="O21" s="2058"/>
      <c r="P21" s="2058"/>
      <c r="Q21" s="2412"/>
      <c r="R21" s="2058"/>
      <c r="S21" s="2058"/>
      <c r="T21" s="2058"/>
      <c r="U21" s="2058"/>
      <c r="V21" s="2058"/>
      <c r="W21" s="2058"/>
      <c r="X21" s="2058"/>
      <c r="Y21" s="2058"/>
      <c r="Z21" s="2058"/>
      <c r="AA21" s="2058"/>
      <c r="AB21" s="2058"/>
      <c r="AC21" s="2058"/>
      <c r="AD21" s="2058"/>
      <c r="AE21" s="2058"/>
      <c r="AF21" s="2058"/>
      <c r="AG21" s="2058"/>
    </row>
    <row r="22" spans="1:33" ht="18" customHeight="1">
      <c r="A22" s="1644" t="s">
        <v>1885</v>
      </c>
      <c r="B22" s="780" t="s">
        <v>1761</v>
      </c>
      <c r="C22" s="53"/>
      <c r="D22" s="2591" t="str">
        <f>IF(F23&lt;=1,"单利计息。","复利计息。")&amp;"建造成本、管理费用、销售费用产生的利息。"</f>
        <v>复利计息。建造成本、管理费用、销售费用产生的利息。</v>
      </c>
      <c r="E22" s="1977"/>
      <c r="F22" s="56"/>
      <c r="G22" s="1587"/>
      <c r="H22" s="1644" t="s">
        <v>1883</v>
      </c>
      <c r="I22" s="780" t="s">
        <v>1762</v>
      </c>
      <c r="J22" s="53">
        <f ca="1">ROUND(J14*M22,0)</f>
        <v>59</v>
      </c>
      <c r="K22" s="2503" t="s">
        <v>1763</v>
      </c>
      <c r="L22" s="780" t="s">
        <v>1741</v>
      </c>
      <c r="M22" s="813">
        <f ca="1">INDIRECT("'数据-取费表'!Ak"&amp;$G$1)</f>
        <v>1.4999999999999999E-2</v>
      </c>
    </row>
    <row r="23" spans="1:33" s="2059" customFormat="1" ht="18" customHeight="1">
      <c r="A23" s="1643" t="s">
        <v>1825</v>
      </c>
      <c r="B23" s="780" t="s">
        <v>2532</v>
      </c>
      <c r="C23" s="53">
        <f ca="1">ROUND(IF('数据-取费表'!B22&lt;=1,(C19+C20)*F24*F23/2,(C19+C20)*(POWER((1+F24),F23/2)-1)),0)</f>
        <v>198</v>
      </c>
      <c r="D23" s="2590" t="str">
        <f>IF(F23&lt;=1,"(建造成本+管理费用)×利率×(建设周期÷2)","(建造成本+管理费用)×((1+利率)^(建设周期÷2)-1)")</f>
        <v>(建造成本+管理费用)×((1+利率)^(建设周期÷2)-1)</v>
      </c>
      <c r="E23" s="780" t="s">
        <v>1764</v>
      </c>
      <c r="F23" s="636">
        <f>'数据-取费表'!B20</f>
        <v>3</v>
      </c>
      <c r="G23" s="1588"/>
      <c r="H23" s="1644" t="s">
        <v>1884</v>
      </c>
      <c r="I23" s="780" t="s">
        <v>673</v>
      </c>
      <c r="J23" s="53">
        <f ca="1">ROUND(J13*M23,0)</f>
        <v>0</v>
      </c>
      <c r="K23" s="2503" t="s">
        <v>1765</v>
      </c>
      <c r="L23" s="780" t="s">
        <v>1741</v>
      </c>
      <c r="M23" s="814">
        <f ca="1">INDIRECT("'数据-取费表'!Al"&amp;$G$1)</f>
        <v>1.5E-3</v>
      </c>
      <c r="N23" s="2058"/>
      <c r="O23" s="2058"/>
      <c r="P23" s="2058"/>
      <c r="Q23" s="2412"/>
      <c r="R23" s="2058"/>
      <c r="S23" s="2058"/>
      <c r="T23" s="2058"/>
      <c r="U23" s="2058"/>
      <c r="V23" s="2058"/>
      <c r="W23" s="2058"/>
      <c r="X23" s="2058"/>
      <c r="Y23" s="2058"/>
      <c r="Z23" s="2058"/>
      <c r="AA23" s="2058"/>
      <c r="AB23" s="2058"/>
      <c r="AC23" s="2058"/>
      <c r="AD23" s="2058"/>
      <c r="AE23" s="2058"/>
      <c r="AF23" s="2058"/>
      <c r="AG23" s="2058"/>
    </row>
    <row r="24" spans="1:33" s="2059" customFormat="1" ht="18" customHeight="1" thickBot="1">
      <c r="A24" s="1643" t="s">
        <v>1826</v>
      </c>
      <c r="B24" s="780" t="s">
        <v>1766</v>
      </c>
      <c r="C24" s="53">
        <f ca="1">ROUND(IF('数据-取费表'!B22&lt;=1,F21*F24*F23/2,F21*(POWER((1+F24),F23/2)-1)),4)</f>
        <v>1.4E-3</v>
      </c>
      <c r="D24" s="2590" t="str">
        <f>IF(F23&lt;=1,"销售费用×利率×(建设周期÷2)","销售费用×((1+利率)^(建设周期÷2)-1)")</f>
        <v>销售费用×((1+利率)^(建设周期÷2)-1)</v>
      </c>
      <c r="E24" s="780" t="s">
        <v>1767</v>
      </c>
      <c r="F24" s="815">
        <f ca="1">'数据-取费表'!B40</f>
        <v>4.7500000000000001E-2</v>
      </c>
      <c r="G24" s="1588"/>
      <c r="H24" s="2570" t="s">
        <v>1885</v>
      </c>
      <c r="I24" s="2565" t="s">
        <v>660</v>
      </c>
      <c r="J24" s="2563">
        <f ca="1">ROUND(J5*M24,0)</f>
        <v>0</v>
      </c>
      <c r="K24" s="2564" t="s">
        <v>1768</v>
      </c>
      <c r="L24" s="2565" t="s">
        <v>1741</v>
      </c>
      <c r="M24" s="2561">
        <f ca="1">INDIRECT("'数据-取费表'!Am"&amp;$G$1)</f>
        <v>0.01</v>
      </c>
      <c r="N24" s="2058"/>
      <c r="O24" s="2058"/>
      <c r="P24" s="2058"/>
      <c r="Q24" s="2412"/>
      <c r="R24" s="2058"/>
      <c r="S24" s="2058"/>
      <c r="T24" s="2058"/>
      <c r="U24" s="2058"/>
      <c r="V24" s="2058"/>
      <c r="W24" s="2058"/>
      <c r="X24" s="2058"/>
      <c r="Y24" s="2058"/>
      <c r="Z24" s="2058"/>
      <c r="AA24" s="2058"/>
      <c r="AB24" s="2058"/>
      <c r="AC24" s="2058"/>
      <c r="AD24" s="2058"/>
      <c r="AE24" s="2058"/>
      <c r="AF24" s="2058"/>
      <c r="AG24" s="2058"/>
    </row>
    <row r="25" spans="1:33" ht="18" customHeight="1" thickTop="1">
      <c r="A25" s="1645" t="s">
        <v>1834</v>
      </c>
      <c r="B25" s="780" t="s">
        <v>678</v>
      </c>
      <c r="C25" s="53"/>
      <c r="D25" s="256" t="s">
        <v>1769</v>
      </c>
      <c r="E25" s="1977"/>
      <c r="F25" s="56"/>
      <c r="G25" s="1587"/>
      <c r="H25" s="1824" t="s">
        <v>1770</v>
      </c>
      <c r="I25" s="3031" t="s">
        <v>2821</v>
      </c>
      <c r="J25" s="788">
        <f ca="1">J5-J16</f>
        <v>-97</v>
      </c>
      <c r="K25" s="2567" t="s">
        <v>1771</v>
      </c>
      <c r="L25" s="2568"/>
      <c r="M25" s="2569"/>
    </row>
    <row r="26" spans="1:33" ht="18" customHeight="1">
      <c r="A26" s="1643" t="s">
        <v>1825</v>
      </c>
      <c r="B26" s="780" t="s">
        <v>2433</v>
      </c>
      <c r="C26" s="53">
        <f ca="1">ROUND((C19+C20)*F26,0)</f>
        <v>686</v>
      </c>
      <c r="D26" s="808" t="s">
        <v>1772</v>
      </c>
      <c r="E26" s="791" t="s">
        <v>1773</v>
      </c>
      <c r="F26" s="790">
        <f ca="1">INDIRECT("'数据-取费表'!q"&amp;$G$1)</f>
        <v>0.25</v>
      </c>
      <c r="G26" s="1587"/>
      <c r="H26" s="2521" t="s">
        <v>1774</v>
      </c>
      <c r="I26" s="2227" t="s">
        <v>2826</v>
      </c>
      <c r="J26" s="779">
        <f ca="1">IF(J5&lt;&gt;0,ROUND(J25*(1-((1+M28)/(1+M26))^M27)/(M26-M28),0),0)</f>
        <v>0</v>
      </c>
      <c r="K26" s="810" t="s">
        <v>1775</v>
      </c>
      <c r="L26" s="780" t="s">
        <v>2414</v>
      </c>
      <c r="M26" s="790">
        <f ca="1">INDIRECT("'数据-取费表'!I"&amp;$G$1)</f>
        <v>6.5000000000000002E-2</v>
      </c>
    </row>
    <row r="27" spans="1:33" ht="18" customHeight="1">
      <c r="A27" s="1643" t="s">
        <v>1826</v>
      </c>
      <c r="B27" s="780" t="s">
        <v>680</v>
      </c>
      <c r="C27" s="53">
        <f ca="1">ROUND(F21*F26,4)</f>
        <v>5.0000000000000001E-3</v>
      </c>
      <c r="D27" s="808" t="s">
        <v>1776</v>
      </c>
      <c r="E27" s="802"/>
      <c r="F27" s="803"/>
      <c r="G27" s="1587"/>
      <c r="H27" s="2522"/>
      <c r="I27" s="783"/>
      <c r="J27" s="784"/>
      <c r="K27" s="817" t="s">
        <v>1777</v>
      </c>
      <c r="L27" s="780" t="s">
        <v>1778</v>
      </c>
      <c r="M27" s="818">
        <f ca="1">INDIRECT("'数据-取费表'!ag"&amp;$G$1)</f>
        <v>0</v>
      </c>
    </row>
    <row r="28" spans="1:33" s="2059" customFormat="1" ht="18" customHeight="1">
      <c r="A28" s="1645" t="s">
        <v>1835</v>
      </c>
      <c r="B28" s="780" t="s">
        <v>681</v>
      </c>
      <c r="C28" s="53">
        <f>ROUND(F28/(1+'数据-取费表'!C42),4)</f>
        <v>5.33E-2</v>
      </c>
      <c r="D28" s="808" t="s">
        <v>2294</v>
      </c>
      <c r="E28" s="780" t="s">
        <v>1779</v>
      </c>
      <c r="F28" s="805">
        <f>'数据-取费表'!B41</f>
        <v>5.6000000000000001E-2</v>
      </c>
      <c r="G28" s="1588"/>
      <c r="H28" s="1824"/>
      <c r="I28" s="787"/>
      <c r="J28" s="788"/>
      <c r="K28" s="812"/>
      <c r="L28" s="780" t="s">
        <v>1780</v>
      </c>
      <c r="M28" s="790">
        <f ca="1">INDIRECT("'数据-取费表'!aa"&amp;$G$1)</f>
        <v>0</v>
      </c>
      <c r="N28" s="2058"/>
      <c r="O28" s="2058"/>
      <c r="P28" s="2058"/>
      <c r="Q28" s="2412"/>
      <c r="R28" s="2058"/>
      <c r="S28" s="2058"/>
      <c r="T28" s="2058"/>
      <c r="U28" s="2058"/>
      <c r="V28" s="2058"/>
      <c r="W28" s="2058"/>
      <c r="X28" s="2058"/>
      <c r="Y28" s="2058"/>
      <c r="Z28" s="2058"/>
      <c r="AA28" s="2058"/>
      <c r="AB28" s="2058"/>
      <c r="AC28" s="2058"/>
      <c r="AD28" s="2058"/>
      <c r="AE28" s="2058"/>
      <c r="AF28" s="2058"/>
      <c r="AG28" s="2058"/>
    </row>
    <row r="29" spans="1:33" s="2059" customFormat="1" ht="18" customHeight="1" thickBot="1">
      <c r="A29" s="2562" t="s">
        <v>1886</v>
      </c>
      <c r="B29" s="2560" t="s">
        <v>2295</v>
      </c>
      <c r="C29" s="2563">
        <f ca="1">ROUND((C19+C20+C23+C26)/(1-F21-C24-C27-C28),0)</f>
        <v>3941</v>
      </c>
      <c r="D29" s="2564"/>
      <c r="E29" s="2565"/>
      <c r="F29" s="2566"/>
      <c r="G29" s="1588"/>
      <c r="H29" s="819" t="s">
        <v>1781</v>
      </c>
      <c r="I29" s="820" t="s">
        <v>1782</v>
      </c>
      <c r="J29" s="821">
        <f ca="1">ROUND(J26/(1+F40)^F41,0)</f>
        <v>0</v>
      </c>
      <c r="K29" s="822" t="s">
        <v>1783</v>
      </c>
      <c r="L29" s="823"/>
      <c r="M29" s="824">
        <f ca="1">INDIRECT("'数据-取费表'!k"&amp;$G$1)</f>
        <v>7800</v>
      </c>
      <c r="N29" s="2058"/>
      <c r="O29" s="2058"/>
      <c r="P29" s="2058"/>
      <c r="Q29" s="2412"/>
      <c r="R29" s="2058"/>
      <c r="S29" s="2058"/>
      <c r="T29" s="2058"/>
      <c r="U29" s="2058"/>
      <c r="V29" s="2058"/>
      <c r="W29" s="2058"/>
      <c r="X29" s="2058"/>
      <c r="Y29" s="2058"/>
      <c r="Z29" s="2058"/>
      <c r="AA29" s="2058"/>
      <c r="AB29" s="2058"/>
      <c r="AC29" s="2058"/>
      <c r="AD29" s="2058"/>
      <c r="AE29" s="2058"/>
      <c r="AF29" s="2058"/>
      <c r="AG29" s="2058"/>
    </row>
    <row r="30" spans="1:33" ht="18" customHeight="1" thickTop="1">
      <c r="A30" s="1824" t="s">
        <v>1887</v>
      </c>
      <c r="B30" s="1822" t="s">
        <v>1784</v>
      </c>
      <c r="C30" s="788">
        <f ca="1">ROUND(C31+C36+C37+C38,0)</f>
        <v>193</v>
      </c>
      <c r="D30" s="1816" t="s">
        <v>1785</v>
      </c>
      <c r="E30" s="2505"/>
      <c r="F30" s="2510"/>
      <c r="G30" s="2057"/>
      <c r="H30" s="2060"/>
      <c r="I30" s="2061"/>
      <c r="J30" s="2062"/>
      <c r="K30" s="2063"/>
      <c r="L30" s="2064"/>
      <c r="M30" s="2065"/>
    </row>
    <row r="31" spans="1:33" ht="18" customHeight="1">
      <c r="A31" s="1644" t="s">
        <v>1824</v>
      </c>
      <c r="B31" s="780" t="s">
        <v>650</v>
      </c>
      <c r="C31" s="53">
        <f ca="1">ROUND(IF(项目基本情况!B11="自然人",C5*F31,C32+C33+C34),1)</f>
        <v>113.5</v>
      </c>
      <c r="D31" s="1974" t="s">
        <v>1786</v>
      </c>
      <c r="E31" s="1972" t="s">
        <v>1787</v>
      </c>
      <c r="F31" s="806" t="str">
        <f ca="1">IF(项目基本情况!B11="企业","",IF(INDIRECT("'数据-取费表'!c"&amp;$G$1)="住宅",5%,IF(F6*F7*F8/12/(1+'数据-取费表'!C42)&gt;20000,12%,7%)))</f>
        <v/>
      </c>
      <c r="G31" s="2057"/>
      <c r="H31" s="2060"/>
      <c r="I31" s="2061"/>
      <c r="J31" s="2062"/>
      <c r="K31" s="2063"/>
      <c r="L31" s="2064"/>
      <c r="M31" s="2065"/>
    </row>
    <row r="32" spans="1:33" ht="18" customHeight="1">
      <c r="A32" s="1643" t="s">
        <v>1825</v>
      </c>
      <c r="B32" s="780" t="s">
        <v>1788</v>
      </c>
      <c r="C32" s="53">
        <f ca="1">ROUND(C5*F32/1.05,1)</f>
        <v>75.3</v>
      </c>
      <c r="D32" s="1972" t="s">
        <v>1789</v>
      </c>
      <c r="E32" s="780" t="s">
        <v>1790</v>
      </c>
      <c r="F32" s="805">
        <f>'数据-取费表'!B41</f>
        <v>5.6000000000000001E-2</v>
      </c>
      <c r="G32" s="2057"/>
      <c r="H32" s="2066"/>
      <c r="I32" s="2067"/>
      <c r="J32" s="2068"/>
      <c r="K32" s="2069"/>
      <c r="L32" s="2070"/>
      <c r="M32" s="2071"/>
    </row>
    <row r="33" spans="1:18" ht="18" customHeight="1">
      <c r="A33" s="1643" t="s">
        <v>1826</v>
      </c>
      <c r="B33" s="780" t="s">
        <v>1791</v>
      </c>
      <c r="C33" s="53">
        <f ca="1">IF(D33="按租金收入计税",ROUND(C5*F33,1),IF(D33="按房产原值计税",ROUND(C29*F33*0.7,1),INDIRECT("'数据-取费表'!Aj"&amp;$G$1)))</f>
        <v>33.1</v>
      </c>
      <c r="D33" s="807" t="s">
        <v>1674</v>
      </c>
      <c r="E33" s="780" t="s">
        <v>1790</v>
      </c>
      <c r="F33" s="805">
        <f>IF(D33="按租金收入计税",'数据-取费表'!B51,'数据-取费表'!B50)</f>
        <v>1.2E-2</v>
      </c>
      <c r="G33" s="2057"/>
      <c r="H33" s="2072"/>
      <c r="I33" s="2072"/>
      <c r="J33" s="2072"/>
      <c r="K33" s="2073"/>
      <c r="L33" s="2072"/>
      <c r="M33" s="2072"/>
    </row>
    <row r="34" spans="1:18" ht="18" customHeight="1">
      <c r="A34" s="1646" t="s">
        <v>1827</v>
      </c>
      <c r="B34" s="339" t="s">
        <v>1792</v>
      </c>
      <c r="C34" s="54">
        <f ca="1">ROUND(F34*F35/10000,1)</f>
        <v>5.0999999999999996</v>
      </c>
      <c r="D34" s="810" t="s">
        <v>1793</v>
      </c>
      <c r="E34" s="780" t="s">
        <v>1794</v>
      </c>
      <c r="F34" s="636">
        <f>'数据-取费表'!B52</f>
        <v>20</v>
      </c>
      <c r="G34" s="2057"/>
      <c r="H34" s="2060"/>
      <c r="I34" s="831" t="s">
        <v>1807</v>
      </c>
      <c r="J34" s="832"/>
      <c r="K34" s="2075"/>
      <c r="L34" s="2074"/>
      <c r="M34" s="2074"/>
    </row>
    <row r="35" spans="1:18" ht="18" customHeight="1">
      <c r="A35" s="811"/>
      <c r="B35" s="789"/>
      <c r="C35" s="69"/>
      <c r="D35" s="812"/>
      <c r="E35" s="780" t="s">
        <v>1795</v>
      </c>
      <c r="F35" s="781">
        <f ca="1">INDIRECT("'数据-取费表'!r"&amp;$G$1)</f>
        <v>2554.5300000000002</v>
      </c>
      <c r="G35" s="2057"/>
      <c r="H35" s="2060"/>
      <c r="I35" s="833" t="s">
        <v>1808</v>
      </c>
      <c r="J35" s="834">
        <f ca="1">ROUND(C13*J36,0)</f>
        <v>315</v>
      </c>
      <c r="K35" s="2073"/>
      <c r="L35" s="2072"/>
      <c r="M35" s="2072"/>
    </row>
    <row r="36" spans="1:18" ht="18" customHeight="1">
      <c r="A36" s="1644" t="s">
        <v>1883</v>
      </c>
      <c r="B36" s="780" t="s">
        <v>1796</v>
      </c>
      <c r="C36" s="53">
        <f ca="1">ROUND(C29*F36,1)</f>
        <v>59.1</v>
      </c>
      <c r="D36" s="1972" t="s">
        <v>1797</v>
      </c>
      <c r="E36" s="780" t="s">
        <v>1790</v>
      </c>
      <c r="F36" s="813">
        <f ca="1">INDIRECT("'数据-取费表'!Ak"&amp;$G$1)</f>
        <v>1.4999999999999999E-2</v>
      </c>
      <c r="G36" s="2057"/>
      <c r="H36" s="2072"/>
      <c r="I36" s="835" t="s">
        <v>1809</v>
      </c>
      <c r="J36" s="836">
        <f ca="1">INDIRECT("'数据-取费表'!j"&amp;$G$1)</f>
        <v>0.08</v>
      </c>
      <c r="K36" s="2077"/>
      <c r="L36" s="2072"/>
      <c r="M36" s="2072"/>
    </row>
    <row r="37" spans="1:18" ht="18" customHeight="1">
      <c r="A37" s="1644" t="s">
        <v>1884</v>
      </c>
      <c r="B37" s="780" t="s">
        <v>673</v>
      </c>
      <c r="C37" s="53">
        <f ca="1">ROUND(C13*F37,1)</f>
        <v>5.9</v>
      </c>
      <c r="D37" s="1972" t="s">
        <v>1798</v>
      </c>
      <c r="E37" s="780" t="s">
        <v>1790</v>
      </c>
      <c r="F37" s="814">
        <f ca="1">INDIRECT("'数据-取费表'!Al"&amp;$G$1)</f>
        <v>1.5E-3</v>
      </c>
      <c r="G37" s="2057"/>
      <c r="H37" s="2072"/>
      <c r="I37" s="837" t="s">
        <v>1810</v>
      </c>
      <c r="J37" s="838"/>
      <c r="K37" s="2077"/>
      <c r="L37" s="2072"/>
      <c r="M37" s="2072"/>
    </row>
    <row r="38" spans="1:18" ht="18" customHeight="1" thickBot="1">
      <c r="A38" s="2570" t="s">
        <v>1885</v>
      </c>
      <c r="B38" s="2565" t="s">
        <v>660</v>
      </c>
      <c r="C38" s="2563">
        <f ca="1">ROUND(C5*F38,1)</f>
        <v>14.1</v>
      </c>
      <c r="D38" s="2564" t="s">
        <v>1799</v>
      </c>
      <c r="E38" s="2565" t="s">
        <v>1790</v>
      </c>
      <c r="F38" s="2561">
        <f ca="1">INDIRECT("'数据-取费表'!Am"&amp;$G$1)</f>
        <v>0.01</v>
      </c>
      <c r="G38" s="2057"/>
      <c r="H38" s="2072"/>
      <c r="I38" s="839" t="s">
        <v>1811</v>
      </c>
      <c r="J38" s="840"/>
      <c r="K38" s="2078"/>
      <c r="L38" s="2072"/>
      <c r="M38" s="2072"/>
    </row>
    <row r="39" spans="1:18" ht="24.6" customHeight="1" thickTop="1">
      <c r="A39" s="1824" t="s">
        <v>1888</v>
      </c>
      <c r="B39" s="3031" t="s">
        <v>2821</v>
      </c>
      <c r="C39" s="788">
        <f ca="1">C5-C30</f>
        <v>1218</v>
      </c>
      <c r="D39" s="2567" t="s">
        <v>1800</v>
      </c>
      <c r="E39" s="2568"/>
      <c r="F39" s="2569"/>
      <c r="G39" s="2057"/>
      <c r="H39" s="2072"/>
      <c r="I39" s="833" t="s">
        <v>1812</v>
      </c>
      <c r="J39" s="841">
        <f ca="1">ROUND(J35/C39,3)</f>
        <v>0.25900000000000001</v>
      </c>
      <c r="K39" s="2078"/>
      <c r="L39" s="2072"/>
      <c r="M39" s="2072"/>
    </row>
    <row r="40" spans="1:18" ht="18" customHeight="1">
      <c r="A40" s="777" t="s">
        <v>1889</v>
      </c>
      <c r="B40" s="2227" t="s">
        <v>2296</v>
      </c>
      <c r="C40" s="779">
        <f ca="1">ROUND(C39*(1-((1+F42)/(1+F40))^F41)/(F40-F42),0)</f>
        <v>25559</v>
      </c>
      <c r="D40" s="810" t="s">
        <v>1801</v>
      </c>
      <c r="E40" s="780" t="s">
        <v>2414</v>
      </c>
      <c r="F40" s="790">
        <f ca="1">INDIRECT("'数据-取费表'!I"&amp;$G$1)</f>
        <v>6.5000000000000002E-2</v>
      </c>
      <c r="G40" s="2057"/>
      <c r="H40" s="2057"/>
      <c r="I40" s="833" t="s">
        <v>1813</v>
      </c>
      <c r="J40" s="841">
        <f ca="1">1-J39</f>
        <v>0.74099999999999999</v>
      </c>
      <c r="K40" s="2078"/>
      <c r="L40" s="2057"/>
      <c r="M40" s="2057"/>
    </row>
    <row r="41" spans="1:18" ht="18" customHeight="1">
      <c r="A41" s="782"/>
      <c r="B41" s="783"/>
      <c r="C41" s="784"/>
      <c r="D41" s="817" t="s">
        <v>1802</v>
      </c>
      <c r="E41" s="780" t="s">
        <v>2961</v>
      </c>
      <c r="F41" s="818">
        <f ca="1">IF(INDIRECT("'数据-取费表'!af"&amp;$G$1)=0,INDIRECT("'数据-取费表'!ae"&amp;$G$1),INDIRECT("'数据-取费表'!af"&amp;$G$1))</f>
        <v>39.68</v>
      </c>
      <c r="G41" s="2057"/>
      <c r="H41" s="1983"/>
      <c r="I41" s="839" t="s">
        <v>1814</v>
      </c>
      <c r="J41" s="842"/>
      <c r="K41" s="2077"/>
      <c r="L41" s="1983"/>
      <c r="M41" s="1983"/>
    </row>
    <row r="42" spans="1:18" ht="18" customHeight="1">
      <c r="A42" s="786"/>
      <c r="B42" s="787"/>
      <c r="C42" s="788"/>
      <c r="D42" s="812"/>
      <c r="E42" s="780" t="s">
        <v>1803</v>
      </c>
      <c r="F42" s="790">
        <f ca="1">INDIRECT("'数据-取费表'!v"&amp;$G$1)</f>
        <v>0.03</v>
      </c>
      <c r="G42" s="2057"/>
      <c r="H42" s="1983"/>
      <c r="I42" s="843" t="s">
        <v>1815</v>
      </c>
      <c r="J42" s="841">
        <f ca="1">ROUND(C13/C40,3)</f>
        <v>0.154</v>
      </c>
      <c r="K42" s="2077"/>
      <c r="L42" s="1983"/>
      <c r="M42" s="1983"/>
    </row>
    <row r="43" spans="1:18" ht="18" customHeight="1" thickBot="1">
      <c r="A43" s="819" t="s">
        <v>1781</v>
      </c>
      <c r="B43" s="820" t="s">
        <v>1804</v>
      </c>
      <c r="C43" s="821">
        <f ca="1">ROUND(C40*10000/F43,0)</f>
        <v>32768</v>
      </c>
      <c r="D43" s="822" t="s">
        <v>1805</v>
      </c>
      <c r="E43" s="823" t="s">
        <v>1806</v>
      </c>
      <c r="F43" s="824">
        <f ca="1">INDIRECT("'数据-取费表'!k"&amp;$G$1)</f>
        <v>7800</v>
      </c>
      <c r="G43" s="2057"/>
      <c r="H43" s="1983"/>
      <c r="I43" s="843" t="s">
        <v>1816</v>
      </c>
      <c r="J43" s="844">
        <f ca="1">1-J42</f>
        <v>0.84599999999999997</v>
      </c>
      <c r="K43" s="2077"/>
      <c r="L43" s="1983"/>
      <c r="M43" s="1983"/>
    </row>
    <row r="44" spans="1:18" s="2054" customFormat="1" ht="18" customHeight="1">
      <c r="A44" s="2080"/>
      <c r="B44" s="2080"/>
      <c r="C44" s="2097"/>
      <c r="D44" s="2080"/>
      <c r="E44" s="2080"/>
      <c r="F44" s="2080"/>
      <c r="K44" s="2081"/>
      <c r="Q44" s="2092"/>
    </row>
    <row r="45" spans="1:18" s="2054" customFormat="1" ht="18" customHeight="1" thickBot="1">
      <c r="A45" s="2080"/>
      <c r="B45" s="2080"/>
      <c r="C45" s="2097"/>
      <c r="D45" s="2080"/>
      <c r="E45" s="2080"/>
      <c r="F45" s="2080"/>
      <c r="K45" s="2081"/>
      <c r="Q45" s="2092"/>
    </row>
    <row r="46" spans="1:18" s="2054" customFormat="1" ht="18" customHeight="1" thickBot="1">
      <c r="A46" s="2225" t="s">
        <v>2290</v>
      </c>
      <c r="B46" s="2080"/>
      <c r="C46" s="2593">
        <f ca="1">C67-C40</f>
        <v>-27013</v>
      </c>
      <c r="D46" s="2080"/>
      <c r="E46" s="2080"/>
      <c r="F46" s="2080"/>
      <c r="I46" s="2373" t="s">
        <v>2337</v>
      </c>
      <c r="J46" s="2374"/>
      <c r="K46" s="2375"/>
      <c r="L46" s="2376" t="str">
        <f ca="1">IF(M47="住宅",0,IF(L48&gt;J51,L60,J60))</f>
        <v>0</v>
      </c>
      <c r="O46" s="2413" t="s">
        <v>2405</v>
      </c>
      <c r="P46" s="1587"/>
      <c r="Q46" s="1599"/>
      <c r="R46" s="1587"/>
    </row>
    <row r="47" spans="1:18" s="2054" customFormat="1" ht="18" customHeight="1" thickBot="1">
      <c r="A47" s="2367">
        <v>1</v>
      </c>
      <c r="B47" s="2368" t="s">
        <v>629</v>
      </c>
      <c r="C47" s="2593">
        <f ca="1">C48+C52+C54</f>
        <v>0</v>
      </c>
      <c r="D47" s="2080"/>
      <c r="E47" s="2080"/>
      <c r="F47" s="2080"/>
      <c r="I47" s="2377" t="s">
        <v>2338</v>
      </c>
      <c r="J47" s="2382" t="s">
        <v>3005</v>
      </c>
      <c r="K47" s="2383" t="s">
        <v>2344</v>
      </c>
      <c r="L47" s="2384">
        <f ca="1">INDIRECT("'数据-取费表'!d"&amp;$G$1)</f>
        <v>40</v>
      </c>
      <c r="M47" s="1599" t="str">
        <f>IF(ISNUMBER(FIND("住宅",C1)),"住宅","非住宅")</f>
        <v>非住宅</v>
      </c>
      <c r="O47" s="2414" t="s">
        <v>2370</v>
      </c>
      <c r="P47" s="2415" t="s">
        <v>2371</v>
      </c>
      <c r="Q47" s="2416" t="s">
        <v>2372</v>
      </c>
      <c r="R47" s="2415" t="s">
        <v>2373</v>
      </c>
    </row>
    <row r="48" spans="1:18" s="2054" customFormat="1" ht="18" customHeight="1" thickBot="1">
      <c r="A48" s="2662" t="s">
        <v>2534</v>
      </c>
      <c r="B48" s="2663" t="s">
        <v>2535</v>
      </c>
      <c r="C48" s="2369">
        <f ca="1">ROUND(F48*F50*F49*(1-F51)/10000,0)</f>
        <v>0</v>
      </c>
      <c r="D48" s="2370" t="s">
        <v>630</v>
      </c>
      <c r="E48" s="2371" t="s">
        <v>2291</v>
      </c>
      <c r="F48" s="2372"/>
      <c r="G48" s="2085"/>
      <c r="I48" s="2378" t="s">
        <v>2339</v>
      </c>
      <c r="J48" s="2385" t="s">
        <v>2345</v>
      </c>
      <c r="K48" s="2386" t="s">
        <v>2346</v>
      </c>
      <c r="L48" s="2387">
        <f ca="1">INDIRECT("'数据-取费表'!f"&amp;$G$1)</f>
        <v>39.68</v>
      </c>
      <c r="O48" s="2417" t="s">
        <v>2374</v>
      </c>
      <c r="P48" s="2418" t="s">
        <v>2400</v>
      </c>
      <c r="Q48" s="2419">
        <f ca="1">C40+J29</f>
        <v>25559</v>
      </c>
      <c r="R48" s="2418" t="s">
        <v>2375</v>
      </c>
    </row>
    <row r="49" spans="1:18" s="2054" customFormat="1" ht="18" customHeight="1" thickBot="1">
      <c r="A49" s="782"/>
      <c r="B49" s="783"/>
      <c r="C49" s="784"/>
      <c r="D49" s="785"/>
      <c r="E49" s="780" t="s">
        <v>1733</v>
      </c>
      <c r="F49" s="781">
        <f ca="1">F7</f>
        <v>7800</v>
      </c>
      <c r="G49" s="2085"/>
      <c r="H49" s="2088"/>
      <c r="I49" s="2378" t="s">
        <v>2340</v>
      </c>
      <c r="J49" s="2388">
        <v>2019</v>
      </c>
      <c r="K49" s="2389" t="s">
        <v>2347</v>
      </c>
      <c r="L49" s="2390"/>
      <c r="O49" s="2417" t="s">
        <v>2376</v>
      </c>
      <c r="P49" s="2418" t="s">
        <v>2401</v>
      </c>
      <c r="Q49" s="2419" t="str">
        <f ca="1">J60</f>
        <v>0</v>
      </c>
      <c r="R49" s="2418" t="s">
        <v>2377</v>
      </c>
    </row>
    <row r="50" spans="1:18" s="2054" customFormat="1" ht="18" customHeight="1" thickBot="1">
      <c r="A50" s="782"/>
      <c r="B50" s="783"/>
      <c r="C50" s="784"/>
      <c r="D50" s="785"/>
      <c r="E50" s="780" t="s">
        <v>1734</v>
      </c>
      <c r="F50" s="781">
        <f ca="1">F8</f>
        <v>365</v>
      </c>
      <c r="G50" s="2090"/>
      <c r="H50" s="2088"/>
      <c r="I50" s="2378" t="s">
        <v>2341</v>
      </c>
      <c r="J50" s="2391">
        <f>SUMPRODUCT((I63:I65=J47)*(J62:L62=J48)*(J63:L65))</f>
        <v>60</v>
      </c>
      <c r="K50" s="2389" t="s">
        <v>2348</v>
      </c>
      <c r="L50" s="2390"/>
      <c r="O50" s="2420" t="s">
        <v>2378</v>
      </c>
      <c r="P50" s="2418" t="s">
        <v>2402</v>
      </c>
      <c r="Q50" s="2419">
        <f ca="1">C29</f>
        <v>3941</v>
      </c>
      <c r="R50" s="2418" t="s">
        <v>2375</v>
      </c>
    </row>
    <row r="51" spans="1:18" s="2054" customFormat="1" ht="18" customHeight="1" thickBot="1">
      <c r="A51" s="782"/>
      <c r="B51" s="783"/>
      <c r="C51" s="784"/>
      <c r="D51" s="785"/>
      <c r="E51" s="780" t="s">
        <v>634</v>
      </c>
      <c r="F51" s="2366"/>
      <c r="H51" s="2088"/>
      <c r="I51" s="2379" t="s">
        <v>2342</v>
      </c>
      <c r="J51" s="2392">
        <f>IF(J49="",J50,J49+J50-YEAR('数据-取费表'!B2))</f>
        <v>62</v>
      </c>
      <c r="K51" s="2378" t="s">
        <v>2349</v>
      </c>
      <c r="L51" s="2393">
        <f ca="1">ROUND(-PV(INDIRECT("'数据-取费表'!h"&amp;$G$1),L48,(C39-C13*J36),0),0)</f>
        <v>13555</v>
      </c>
      <c r="O51" s="2420" t="s">
        <v>2379</v>
      </c>
      <c r="P51" s="2418" t="s">
        <v>2380</v>
      </c>
      <c r="Q51" s="2421" t="e">
        <f ca="1">J58</f>
        <v>#VALUE!</v>
      </c>
      <c r="R51" s="2422"/>
    </row>
    <row r="52" spans="1:18" s="2054" customFormat="1" ht="18" customHeight="1" thickBot="1">
      <c r="A52" s="777" t="s">
        <v>2533</v>
      </c>
      <c r="B52" s="2513" t="s">
        <v>2455</v>
      </c>
      <c r="C52" s="795">
        <f ca="1">ROUND(IF(F52="押一",F48*F50*F49/12*F11,IF(F52="押二",F48*F50*F49/12*2*F11,IF(F52="押三",F48*F50*F49/12*3*F11,C53*F11)))/10000,0)</f>
        <v>0</v>
      </c>
      <c r="D52" s="2520" t="s">
        <v>2462</v>
      </c>
      <c r="E52" s="2517" t="s">
        <v>2460</v>
      </c>
      <c r="F52" s="2640"/>
      <c r="I52" s="2380" t="s">
        <v>2416</v>
      </c>
      <c r="J52" s="2394">
        <v>0.08</v>
      </c>
      <c r="K52" s="2380" t="s">
        <v>2415</v>
      </c>
      <c r="L52" s="2394"/>
      <c r="O52" s="2420" t="s">
        <v>2381</v>
      </c>
      <c r="P52" s="2418" t="s">
        <v>2382</v>
      </c>
      <c r="Q52" s="2421">
        <f>J52</f>
        <v>0.08</v>
      </c>
      <c r="R52" s="2422"/>
    </row>
    <row r="53" spans="1:18" s="2054" customFormat="1" ht="39.75" customHeight="1" thickBot="1">
      <c r="A53" s="782"/>
      <c r="B53" s="2514" t="s">
        <v>2570</v>
      </c>
      <c r="C53" s="2518"/>
      <c r="D53" s="2520"/>
      <c r="E53" s="2517"/>
      <c r="F53" s="796"/>
      <c r="I53" s="2381" t="s">
        <v>2343</v>
      </c>
      <c r="J53" s="2395">
        <f ca="1">IF(M47="住宅",J51,IF(D1="——",MIN(J51,L48),IF(D1="土地（套用方法）",MIN(J51,L48-'数据-取费表'!B20))))</f>
        <v>39.68</v>
      </c>
      <c r="K53" s="3544" t="s">
        <v>2963</v>
      </c>
      <c r="L53" s="3545"/>
      <c r="O53" s="2420" t="s">
        <v>2383</v>
      </c>
      <c r="P53" s="2418" t="s">
        <v>2384</v>
      </c>
      <c r="Q53" s="2419">
        <f ca="1">J53</f>
        <v>39.68</v>
      </c>
      <c r="R53" s="2418" t="s">
        <v>2385</v>
      </c>
    </row>
    <row r="54" spans="1:18" s="2054" customFormat="1" ht="18" customHeight="1" thickBot="1">
      <c r="A54" s="2556" t="s">
        <v>2464</v>
      </c>
      <c r="B54" s="2557" t="s">
        <v>2456</v>
      </c>
      <c r="C54" s="2558"/>
      <c r="D54" s="2520"/>
      <c r="E54" s="2517"/>
      <c r="F54" s="796"/>
      <c r="I54" s="20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1"/>
      <c r="O54" s="2417" t="s">
        <v>2386</v>
      </c>
      <c r="P54" s="2418" t="s">
        <v>2403</v>
      </c>
      <c r="Q54" s="2419">
        <f ca="1">Q48+Q49</f>
        <v>25559</v>
      </c>
      <c r="R54" s="2422" t="s">
        <v>2387</v>
      </c>
    </row>
    <row r="55" spans="1:18" s="2054" customFormat="1" ht="18" customHeight="1" thickTop="1" thickBot="1">
      <c r="A55" s="793">
        <v>2</v>
      </c>
      <c r="B55" s="794" t="s">
        <v>638</v>
      </c>
      <c r="C55" s="795">
        <f ca="1">C13</f>
        <v>3941</v>
      </c>
      <c r="D55" s="791"/>
      <c r="E55" s="791"/>
      <c r="F55" s="796"/>
      <c r="I55" s="3119" t="s">
        <v>2350</v>
      </c>
      <c r="J55" s="3118" t="e">
        <f ca="1">ROUND(IF(J47="钢混",J57/J50,1-(1-2%)*(J50-J57)/J50),3)</f>
        <v>#VALUE!</v>
      </c>
      <c r="K55" s="2396" t="s">
        <v>2351</v>
      </c>
      <c r="L55" s="2397"/>
      <c r="O55" s="2423" t="s">
        <v>2406</v>
      </c>
      <c r="P55" s="1587"/>
      <c r="Q55" s="1599"/>
      <c r="R55" s="1587"/>
    </row>
    <row r="56" spans="1:18" s="2054" customFormat="1" ht="42.75" customHeight="1" thickBot="1">
      <c r="A56" s="1645"/>
      <c r="B56" s="2226" t="s">
        <v>2297</v>
      </c>
      <c r="C56" s="53">
        <f ca="1">C29</f>
        <v>3941</v>
      </c>
      <c r="D56" s="2659"/>
      <c r="E56" s="780"/>
      <c r="F56" s="805"/>
      <c r="I56" s="2398" t="s">
        <v>2352</v>
      </c>
      <c r="J56" s="3142" t="s">
        <v>1672</v>
      </c>
      <c r="K56" s="2378" t="s">
        <v>2357</v>
      </c>
      <c r="L56" s="2387" t="str">
        <f ca="1">IF(L48&lt;J51,"——",L48-J51)</f>
        <v>——</v>
      </c>
      <c r="O56" s="2414" t="s">
        <v>2370</v>
      </c>
      <c r="P56" s="2415" t="s">
        <v>2371</v>
      </c>
      <c r="Q56" s="2416" t="s">
        <v>2372</v>
      </c>
      <c r="R56" s="2415" t="s">
        <v>2373</v>
      </c>
    </row>
    <row r="57" spans="1:18" s="2054" customFormat="1" ht="28.5" customHeight="1" thickBot="1">
      <c r="A57" s="793" t="s">
        <v>1742</v>
      </c>
      <c r="B57" s="794" t="s">
        <v>645</v>
      </c>
      <c r="C57" s="795">
        <f ca="1">ROUND(C58+C63+C64+C65,0)</f>
        <v>103</v>
      </c>
      <c r="D57" s="26" t="s">
        <v>1744</v>
      </c>
      <c r="E57" s="2660"/>
      <c r="F57" s="56"/>
      <c r="I57" s="2399" t="s">
        <v>2353</v>
      </c>
      <c r="J57" s="2401" t="str">
        <f ca="1">IF(OR(M47="住宅",J51&lt;L48,J56="是"),"——",J51-L48)</f>
        <v>——</v>
      </c>
      <c r="K57" s="2378" t="s">
        <v>2358</v>
      </c>
      <c r="L57" s="2387" t="str">
        <f ca="1">IF(L48&lt;J51,"——",IF(L55="比较法",L49,IF(L55="基准地价",L50,L51)))</f>
        <v>——</v>
      </c>
      <c r="O57" s="2417" t="s">
        <v>2374</v>
      </c>
      <c r="P57" s="2418" t="s">
        <v>2404</v>
      </c>
      <c r="Q57" s="2419">
        <f ca="1">C40+J29</f>
        <v>25559</v>
      </c>
      <c r="R57" s="2418" t="s">
        <v>2375</v>
      </c>
    </row>
    <row r="58" spans="1:18" s="2054" customFormat="1" ht="28.5" customHeight="1" thickBot="1">
      <c r="A58" s="1644" t="s">
        <v>1818</v>
      </c>
      <c r="B58" s="780" t="s">
        <v>650</v>
      </c>
      <c r="C58" s="53">
        <f ca="1">ROUND(IF(项目基本情况!B11="自然人",C47*F58,C59+C60+C61),1)</f>
        <v>38.200000000000003</v>
      </c>
      <c r="D58" s="2658" t="s">
        <v>651</v>
      </c>
      <c r="E58" s="2659" t="s">
        <v>684</v>
      </c>
      <c r="F58" s="806" t="str">
        <f ca="1">IF(项目基本情况!B11="企业","",IF(INDIRECT("'数据-取费表'!c"&amp;$G$1)="住宅",5%,IF(F48*F49*F50/12/(1+'数据-取费表'!C42)&gt;20000,12%,7%)))</f>
        <v/>
      </c>
      <c r="I58" s="2399" t="s">
        <v>2354</v>
      </c>
      <c r="J58" s="3120" t="e">
        <f ca="1">IF(J55&lt;0.4,0.4,J55)</f>
        <v>#VALUE!</v>
      </c>
      <c r="K58" s="2378" t="s">
        <v>2359</v>
      </c>
      <c r="L58" s="2387" t="e">
        <f ca="1">ROUND(POWER(1+L52,L47-L48)*(POWER(1+L52,L48)-1)/(POWER(1+L52,L47)-1),4)</f>
        <v>#DIV/0!</v>
      </c>
      <c r="O58" s="2417" t="s">
        <v>2376</v>
      </c>
      <c r="P58" s="2418" t="s">
        <v>2407</v>
      </c>
      <c r="Q58" s="2419">
        <f ca="1">L60</f>
        <v>0</v>
      </c>
      <c r="R58" s="2422" t="s">
        <v>2409</v>
      </c>
    </row>
    <row r="59" spans="1:18" s="2054" customFormat="1" ht="28.5" customHeight="1" thickBot="1">
      <c r="A59" s="1643" t="s">
        <v>1825</v>
      </c>
      <c r="B59" s="780" t="s">
        <v>654</v>
      </c>
      <c r="C59" s="53">
        <f ca="1">ROUND(C47*F59/1.05,1)</f>
        <v>0</v>
      </c>
      <c r="D59" s="2659" t="s">
        <v>1750</v>
      </c>
      <c r="E59" s="780" t="s">
        <v>1741</v>
      </c>
      <c r="F59" s="805">
        <f t="shared" ref="F59:F65" si="0">F32</f>
        <v>5.6000000000000001E-2</v>
      </c>
      <c r="I59" s="2399" t="s">
        <v>2355</v>
      </c>
      <c r="J59" s="2401" t="str">
        <f ca="1">IF(OR(M47="住宅",J51&lt;L48,J56="是"),"——",ROUND(C29*J58,0))</f>
        <v>——</v>
      </c>
      <c r="K59" s="3149" t="str">
        <f>IF(D1="——","建筑物剩余耐用年限下的土地年期修正系数Kn","建设期及建筑物耐用年限下的土地年期修正系数Kn")</f>
        <v>建筑物剩余耐用年限下的土地年期修正系数Kn</v>
      </c>
      <c r="L59" s="2387" t="e">
        <f ca="1">ROUND(IF(D1="土地（套用方法）",POWER(1+L52,L47-(J51+'数据-取费表'!B20))*(POWER(1+L52,(J51+'数据-取费表'!B20))-1)/(POWER(1+L52,L47)-1),POWER(1+L52,L47-J51)*(POWER(1+L52,J51)-1)/(POWER(1+L52,L47)-1)),4)</f>
        <v>#DIV/0!</v>
      </c>
      <c r="O59" s="2420" t="s">
        <v>2378</v>
      </c>
      <c r="P59" s="2418" t="s">
        <v>2408</v>
      </c>
      <c r="Q59" s="2419">
        <f>IF(L55="比较法",L49,IF(L55="基准地价",L50,0))</f>
        <v>0</v>
      </c>
      <c r="R59" s="2418" t="s">
        <v>2375</v>
      </c>
    </row>
    <row r="60" spans="1:18" s="2054" customFormat="1" ht="18" customHeight="1" thickBot="1">
      <c r="A60" s="1643" t="s">
        <v>1826</v>
      </c>
      <c r="B60" s="780" t="s">
        <v>1752</v>
      </c>
      <c r="C60" s="53">
        <f ca="1">IF(D60="按租金收入计税",ROUND(C47*F60,1),IF(D60="按房产原值计税",ROUND(C56*F60*0.7,1),INDIRECT("'数据-取费表'!Aj"&amp;$G$1)))</f>
        <v>33.1</v>
      </c>
      <c r="D60" s="2659" t="str">
        <f>D33</f>
        <v>按房产原值计税</v>
      </c>
      <c r="E60" s="780" t="s">
        <v>1741</v>
      </c>
      <c r="F60" s="805">
        <f t="shared" si="0"/>
        <v>1.2E-2</v>
      </c>
      <c r="I60" s="2400" t="s">
        <v>2356</v>
      </c>
      <c r="J60" s="2402" t="str">
        <f ca="1">IF(OR(M47="住宅",J51&lt;L48,J56="是"),"0",ROUND(J59/(1+J52)^J53,0))</f>
        <v>0</v>
      </c>
      <c r="K60" s="2403" t="s">
        <v>2361</v>
      </c>
      <c r="L60" s="2402">
        <f ca="1">IF(OR(M47="住宅",L48&lt;J51),0,ROUND(L57*(L58/L59-1),0))</f>
        <v>0</v>
      </c>
      <c r="O60" s="2420" t="s">
        <v>2379</v>
      </c>
      <c r="P60" s="2418" t="s">
        <v>2388</v>
      </c>
      <c r="Q60" s="2421">
        <f>L52</f>
        <v>0</v>
      </c>
      <c r="R60" s="2422"/>
    </row>
    <row r="61" spans="1:18" s="2054" customFormat="1" ht="18" customHeight="1" thickBot="1">
      <c r="A61" s="1646" t="s">
        <v>1827</v>
      </c>
      <c r="B61" s="339" t="s">
        <v>662</v>
      </c>
      <c r="C61" s="54">
        <f ca="1">ROUND(F61*F62/10000,1)</f>
        <v>5.0999999999999996</v>
      </c>
      <c r="D61" s="810" t="s">
        <v>663</v>
      </c>
      <c r="E61" s="780" t="s">
        <v>664</v>
      </c>
      <c r="F61" s="636">
        <f t="shared" si="0"/>
        <v>20</v>
      </c>
      <c r="K61" s="2081"/>
      <c r="O61" s="2420" t="s">
        <v>2381</v>
      </c>
      <c r="P61" s="2418" t="s">
        <v>2389</v>
      </c>
      <c r="Q61" s="2419" t="e">
        <f ca="1">L58</f>
        <v>#DIV/0!</v>
      </c>
      <c r="R61" s="2422" t="s">
        <v>2390</v>
      </c>
    </row>
    <row r="62" spans="1:18" s="2054" customFormat="1" ht="15.75" thickBot="1">
      <c r="A62" s="811"/>
      <c r="B62" s="789"/>
      <c r="C62" s="69"/>
      <c r="D62" s="812"/>
      <c r="E62" s="780" t="s">
        <v>668</v>
      </c>
      <c r="F62" s="781">
        <f t="shared" ca="1" si="0"/>
        <v>2554.5300000000002</v>
      </c>
      <c r="I62" s="2404" t="s">
        <v>2362</v>
      </c>
      <c r="J62" s="2405" t="s">
        <v>2363</v>
      </c>
      <c r="K62" s="2405" t="s">
        <v>2364</v>
      </c>
      <c r="L62" s="2405" t="s">
        <v>2345</v>
      </c>
      <c r="M62" s="3121" t="s">
        <v>2938</v>
      </c>
      <c r="O62" s="2420" t="s">
        <v>2383</v>
      </c>
      <c r="P62" s="2418" t="str">
        <f>K59</f>
        <v>建筑物剩余耐用年限下的土地年期修正系数Kn</v>
      </c>
      <c r="Q62" s="2419" t="e">
        <f ca="1">L59</f>
        <v>#DIV/0!</v>
      </c>
      <c r="R62" s="2422" t="s">
        <v>2392</v>
      </c>
    </row>
    <row r="63" spans="1:18" s="2054" customFormat="1" ht="15.75" thickBot="1">
      <c r="A63" s="1644" t="s">
        <v>1883</v>
      </c>
      <c r="B63" s="780" t="s">
        <v>670</v>
      </c>
      <c r="C63" s="53">
        <f ca="1">ROUND(C56*F63,1)</f>
        <v>59.1</v>
      </c>
      <c r="D63" s="2659" t="s">
        <v>1797</v>
      </c>
      <c r="E63" s="780" t="s">
        <v>1741</v>
      </c>
      <c r="F63" s="813">
        <f t="shared" ca="1" si="0"/>
        <v>1.4999999999999999E-2</v>
      </c>
      <c r="I63" s="2404" t="s">
        <v>2365</v>
      </c>
      <c r="J63" s="2405">
        <v>70</v>
      </c>
      <c r="K63" s="2405">
        <v>50</v>
      </c>
      <c r="L63" s="2405">
        <v>80</v>
      </c>
      <c r="M63" s="3122">
        <v>0.02</v>
      </c>
      <c r="O63" s="2417" t="s">
        <v>2386</v>
      </c>
      <c r="P63" s="2418" t="s">
        <v>2403</v>
      </c>
      <c r="Q63" s="2419">
        <f ca="1">Q57+Q58</f>
        <v>25559</v>
      </c>
      <c r="R63" s="2422" t="s">
        <v>2387</v>
      </c>
    </row>
    <row r="64" spans="1:18" s="2054" customFormat="1" ht="16.5" thickBot="1">
      <c r="A64" s="1644" t="s">
        <v>1884</v>
      </c>
      <c r="B64" s="780" t="s">
        <v>673</v>
      </c>
      <c r="C64" s="53">
        <f ca="1">ROUND(C55*F64,1)</f>
        <v>5.9</v>
      </c>
      <c r="D64" s="2659" t="s">
        <v>674</v>
      </c>
      <c r="E64" s="780" t="s">
        <v>1741</v>
      </c>
      <c r="F64" s="814">
        <f t="shared" ca="1" si="0"/>
        <v>1.5E-3</v>
      </c>
      <c r="I64" s="2404" t="s">
        <v>2366</v>
      </c>
      <c r="J64" s="2405">
        <v>50</v>
      </c>
      <c r="K64" s="2405">
        <v>35</v>
      </c>
      <c r="L64" s="2405">
        <v>60</v>
      </c>
      <c r="M64" s="3123">
        <v>0</v>
      </c>
      <c r="O64" s="2423" t="s">
        <v>2410</v>
      </c>
      <c r="P64" s="1587"/>
      <c r="Q64" s="1599"/>
      <c r="R64" s="1587"/>
    </row>
    <row r="65" spans="1:18" s="2054" customFormat="1" ht="15.75" thickBot="1">
      <c r="A65" s="1644" t="s">
        <v>1885</v>
      </c>
      <c r="B65" s="780" t="s">
        <v>660</v>
      </c>
      <c r="C65" s="53">
        <f ca="1">ROUND(C47*F65,1)</f>
        <v>0</v>
      </c>
      <c r="D65" s="2659" t="s">
        <v>677</v>
      </c>
      <c r="E65" s="780" t="s">
        <v>1741</v>
      </c>
      <c r="F65" s="790">
        <f t="shared" ca="1" si="0"/>
        <v>0.01</v>
      </c>
      <c r="I65" s="2404" t="s">
        <v>2367</v>
      </c>
      <c r="J65" s="2405">
        <v>40</v>
      </c>
      <c r="K65" s="2405">
        <v>30</v>
      </c>
      <c r="L65" s="2405">
        <v>50</v>
      </c>
      <c r="M65" s="3122">
        <v>0.02</v>
      </c>
      <c r="O65" s="2414" t="s">
        <v>2370</v>
      </c>
      <c r="P65" s="2415" t="s">
        <v>2371</v>
      </c>
      <c r="Q65" s="2416" t="s">
        <v>2372</v>
      </c>
      <c r="R65" s="2415" t="s">
        <v>2373</v>
      </c>
    </row>
    <row r="66" spans="1:18" s="2054" customFormat="1" ht="24.75" thickBot="1">
      <c r="A66" s="793" t="s">
        <v>1770</v>
      </c>
      <c r="B66" s="3032" t="s">
        <v>2821</v>
      </c>
      <c r="C66" s="795">
        <f ca="1">C47-C57</f>
        <v>-103</v>
      </c>
      <c r="D66" s="2658" t="s">
        <v>694</v>
      </c>
      <c r="E66" s="2657"/>
      <c r="F66" s="816"/>
      <c r="K66" s="2081"/>
      <c r="O66" s="2417" t="s">
        <v>2374</v>
      </c>
      <c r="P66" s="2418" t="s">
        <v>2404</v>
      </c>
      <c r="Q66" s="2419">
        <f ca="1">C40+J29</f>
        <v>25559</v>
      </c>
      <c r="R66" s="2418" t="s">
        <v>2375</v>
      </c>
    </row>
    <row r="67" spans="1:18" s="2054" customFormat="1" ht="20.25" thickBot="1">
      <c r="A67" s="777" t="s">
        <v>1774</v>
      </c>
      <c r="B67" s="2227" t="s">
        <v>2296</v>
      </c>
      <c r="C67" s="779">
        <f ca="1">ROUND(C66*(1-((1+F69)/(1+F67))^F68)/(F67-F69),0)</f>
        <v>-1454</v>
      </c>
      <c r="D67" s="810" t="s">
        <v>698</v>
      </c>
      <c r="E67" s="780" t="s">
        <v>699</v>
      </c>
      <c r="F67" s="790">
        <f ca="1">F40</f>
        <v>6.5000000000000002E-2</v>
      </c>
      <c r="K67" s="2081"/>
      <c r="O67" s="2417" t="s">
        <v>2376</v>
      </c>
      <c r="P67" s="2418" t="s">
        <v>2407</v>
      </c>
      <c r="Q67" s="2419">
        <f ca="1">L60</f>
        <v>0</v>
      </c>
      <c r="R67" s="2422" t="s">
        <v>2409</v>
      </c>
    </row>
    <row r="68" spans="1:18" ht="21.75" thickBot="1">
      <c r="A68" s="782"/>
      <c r="B68" s="783"/>
      <c r="C68" s="784"/>
      <c r="D68" s="817" t="s">
        <v>1802</v>
      </c>
      <c r="E68" s="780" t="s">
        <v>1778</v>
      </c>
      <c r="F68" s="818">
        <f ca="1">F41</f>
        <v>39.68</v>
      </c>
      <c r="O68" s="2420" t="s">
        <v>2378</v>
      </c>
      <c r="P68" s="2418" t="s">
        <v>2408</v>
      </c>
      <c r="Q68" s="2424">
        <f ca="1">L51</f>
        <v>13555</v>
      </c>
      <c r="R68" s="2425" t="s">
        <v>2411</v>
      </c>
    </row>
    <row r="69" spans="1:18" ht="20.25" thickBot="1">
      <c r="A69" s="786"/>
      <c r="B69" s="787"/>
      <c r="C69" s="788"/>
      <c r="D69" s="812"/>
      <c r="E69" s="780" t="s">
        <v>704</v>
      </c>
      <c r="F69" s="2366"/>
      <c r="O69" s="2420" t="s">
        <v>2379</v>
      </c>
      <c r="P69" s="2426" t="s">
        <v>2393</v>
      </c>
      <c r="Q69" s="2419">
        <f ca="1">ROUND(Q70-Q71*Q72,0)</f>
        <v>903</v>
      </c>
      <c r="R69" s="2422"/>
    </row>
    <row r="70" spans="1:18" ht="15.75" thickBot="1">
      <c r="A70" s="819" t="s">
        <v>1781</v>
      </c>
      <c r="B70" s="820" t="s">
        <v>1804</v>
      </c>
      <c r="C70" s="821">
        <f ca="1">ROUND(C67*10000/F70,0)</f>
        <v>-1864</v>
      </c>
      <c r="D70" s="822" t="s">
        <v>1805</v>
      </c>
      <c r="E70" s="823" t="s">
        <v>1806</v>
      </c>
      <c r="F70" s="824">
        <f ca="1">F43</f>
        <v>7800</v>
      </c>
      <c r="O70" s="2420" t="s">
        <v>2394</v>
      </c>
      <c r="P70" s="2426" t="s">
        <v>2395</v>
      </c>
      <c r="Q70" s="2419">
        <f ca="1">C39</f>
        <v>1218</v>
      </c>
      <c r="R70" s="2418" t="s">
        <v>2375</v>
      </c>
    </row>
    <row r="71" spans="1:18" ht="15.75" thickBot="1">
      <c r="O71" s="2420" t="s">
        <v>2396</v>
      </c>
      <c r="P71" s="2426" t="s">
        <v>2397</v>
      </c>
      <c r="Q71" s="2419">
        <f ca="1">C13</f>
        <v>3941</v>
      </c>
      <c r="R71" s="2418" t="s">
        <v>2375</v>
      </c>
    </row>
    <row r="72" spans="1:18" ht="15.75" thickBot="1">
      <c r="O72" s="2420" t="s">
        <v>2398</v>
      </c>
      <c r="P72" s="2426" t="s">
        <v>2399</v>
      </c>
      <c r="Q72" s="2421">
        <f ca="1">J36</f>
        <v>0.08</v>
      </c>
      <c r="R72" s="2422"/>
    </row>
    <row r="73" spans="1:18" ht="15.75" thickBot="1">
      <c r="O73" s="2420" t="s">
        <v>2381</v>
      </c>
      <c r="P73" s="2418" t="s">
        <v>2388</v>
      </c>
      <c r="Q73" s="2421">
        <f>L52</f>
        <v>0</v>
      </c>
      <c r="R73" s="2422"/>
    </row>
    <row r="74" spans="1:18" ht="20.25" thickBot="1">
      <c r="O74" s="2420" t="s">
        <v>2383</v>
      </c>
      <c r="P74" s="2418" t="s">
        <v>2389</v>
      </c>
      <c r="Q74" s="2419" t="e">
        <f ca="1">L58</f>
        <v>#DIV/0!</v>
      </c>
      <c r="R74" s="2422" t="s">
        <v>2390</v>
      </c>
    </row>
    <row r="75" spans="1:18" ht="15.75" thickBot="1">
      <c r="O75" s="2420" t="s">
        <v>2412</v>
      </c>
      <c r="P75" s="2418" t="str">
        <f>K59</f>
        <v>建筑物剩余耐用年限下的土地年期修正系数Kn</v>
      </c>
      <c r="Q75" s="2419" t="e">
        <f ca="1">L59</f>
        <v>#DIV/0!</v>
      </c>
      <c r="R75" s="2422" t="s">
        <v>2392</v>
      </c>
    </row>
    <row r="76" spans="1:18" ht="15.75" thickBot="1">
      <c r="O76" s="2417" t="s">
        <v>2386</v>
      </c>
      <c r="P76" s="2418" t="s">
        <v>2403</v>
      </c>
      <c r="Q76" s="2419">
        <f ca="1">Q66+Q67</f>
        <v>25559</v>
      </c>
      <c r="R76" s="2422" t="s">
        <v>2387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82" orientation="portrait"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62" t="s">
        <v>2468</v>
      </c>
      <c r="B1" s="3563"/>
      <c r="C1" s="3564"/>
      <c r="D1" s="3565">
        <f>SUM(I10,I15,I20,I21,I23)</f>
        <v>0</v>
      </c>
      <c r="E1" s="3565"/>
      <c r="F1" s="3565"/>
      <c r="G1" s="3565"/>
      <c r="H1" s="3565"/>
      <c r="I1" s="3566"/>
    </row>
    <row r="2" spans="1:9">
      <c r="A2" s="3552" t="s">
        <v>2469</v>
      </c>
      <c r="B2" s="3553" t="s">
        <v>2470</v>
      </c>
      <c r="C2" s="3553"/>
      <c r="D2" s="2526" t="s">
        <v>2471</v>
      </c>
      <c r="E2" s="2526" t="s">
        <v>2472</v>
      </c>
      <c r="F2" s="2526" t="s">
        <v>2473</v>
      </c>
      <c r="G2" s="2526" t="s">
        <v>2474</v>
      </c>
      <c r="H2" s="2526" t="s">
        <v>2475</v>
      </c>
      <c r="I2" s="2527" t="s">
        <v>2476</v>
      </c>
    </row>
    <row r="3" spans="1:9">
      <c r="A3" s="3552"/>
      <c r="B3" s="3553" t="s">
        <v>2477</v>
      </c>
      <c r="C3" s="3553"/>
      <c r="D3" s="2528"/>
      <c r="E3" s="2526"/>
      <c r="F3" s="2529"/>
      <c r="G3" s="2529"/>
      <c r="H3" s="2530"/>
      <c r="I3" s="2531">
        <f>ROUND(D3*E3*F3*G3*H3/10000,0)</f>
        <v>0</v>
      </c>
    </row>
    <row r="4" spans="1:9">
      <c r="A4" s="3552"/>
      <c r="B4" s="3553" t="s">
        <v>2478</v>
      </c>
      <c r="C4" s="3553"/>
      <c r="D4" s="2528"/>
      <c r="E4" s="2526"/>
      <c r="F4" s="2529"/>
      <c r="G4" s="2529"/>
      <c r="H4" s="2530"/>
      <c r="I4" s="2531">
        <f t="shared" ref="I4:I9" si="0">ROUND(D4*E4*F4*G4*H4/10000,0)</f>
        <v>0</v>
      </c>
    </row>
    <row r="5" spans="1:9">
      <c r="A5" s="3552"/>
      <c r="B5" s="3553" t="s">
        <v>2479</v>
      </c>
      <c r="C5" s="3553"/>
      <c r="D5" s="2528"/>
      <c r="E5" s="2526"/>
      <c r="F5" s="2529"/>
      <c r="G5" s="2529"/>
      <c r="H5" s="2530"/>
      <c r="I5" s="2531">
        <f t="shared" si="0"/>
        <v>0</v>
      </c>
    </row>
    <row r="6" spans="1:9">
      <c r="A6" s="3552"/>
      <c r="B6" s="3553" t="s">
        <v>2480</v>
      </c>
      <c r="C6" s="3553"/>
      <c r="D6" s="2528"/>
      <c r="E6" s="2526"/>
      <c r="F6" s="2529"/>
      <c r="G6" s="2529"/>
      <c r="H6" s="2530"/>
      <c r="I6" s="2531">
        <f t="shared" si="0"/>
        <v>0</v>
      </c>
    </row>
    <row r="7" spans="1:9">
      <c r="A7" s="3552"/>
      <c r="B7" s="3553" t="s">
        <v>2481</v>
      </c>
      <c r="C7" s="3553"/>
      <c r="D7" s="2528"/>
      <c r="E7" s="2526"/>
      <c r="F7" s="2529"/>
      <c r="G7" s="2529"/>
      <c r="H7" s="2530"/>
      <c r="I7" s="2531">
        <f t="shared" si="0"/>
        <v>0</v>
      </c>
    </row>
    <row r="8" spans="1:9">
      <c r="A8" s="3552"/>
      <c r="B8" s="3553" t="s">
        <v>2482</v>
      </c>
      <c r="C8" s="3553"/>
      <c r="D8" s="2528"/>
      <c r="E8" s="2526"/>
      <c r="F8" s="2529"/>
      <c r="G8" s="2529"/>
      <c r="H8" s="2530"/>
      <c r="I8" s="2531">
        <f t="shared" si="0"/>
        <v>0</v>
      </c>
    </row>
    <row r="9" spans="1:9">
      <c r="A9" s="3552"/>
      <c r="B9" s="3553" t="s">
        <v>2483</v>
      </c>
      <c r="C9" s="3553"/>
      <c r="D9" s="2528"/>
      <c r="E9" s="2526"/>
      <c r="F9" s="2529"/>
      <c r="G9" s="2529"/>
      <c r="H9" s="2530"/>
      <c r="I9" s="2531">
        <f t="shared" si="0"/>
        <v>0</v>
      </c>
    </row>
    <row r="10" spans="1:9">
      <c r="A10" s="3552"/>
      <c r="B10" s="3554" t="s">
        <v>2484</v>
      </c>
      <c r="C10" s="3554"/>
      <c r="D10" s="2532">
        <v>527</v>
      </c>
      <c r="E10" s="2532" t="e">
        <f>ROUND(D1*10000/D10/H9,0)</f>
        <v>#DIV/0!</v>
      </c>
      <c r="F10" s="2533"/>
      <c r="G10" s="2533"/>
      <c r="H10" s="2534"/>
      <c r="I10" s="2535">
        <f>SUM(I3:I9)</f>
        <v>0</v>
      </c>
    </row>
    <row r="11" spans="1:9" ht="14.25">
      <c r="A11" s="3552" t="s">
        <v>2485</v>
      </c>
      <c r="B11" s="3553" t="s">
        <v>2486</v>
      </c>
      <c r="C11" s="3553"/>
      <c r="D11" s="2528" t="s">
        <v>2487</v>
      </c>
      <c r="E11" s="2528" t="s">
        <v>2488</v>
      </c>
      <c r="F11" s="2529" t="s">
        <v>2489</v>
      </c>
      <c r="G11" s="2529" t="s">
        <v>2490</v>
      </c>
      <c r="H11" s="2536" t="s">
        <v>2491</v>
      </c>
      <c r="I11" s="2527" t="s">
        <v>2492</v>
      </c>
    </row>
    <row r="12" spans="1:9">
      <c r="A12" s="3552"/>
      <c r="B12" s="3553" t="s">
        <v>2493</v>
      </c>
      <c r="C12" s="3553"/>
      <c r="D12" s="2528"/>
      <c r="E12" s="2528"/>
      <c r="F12" s="2529"/>
      <c r="G12" s="2530"/>
      <c r="H12" s="2537"/>
      <c r="I12" s="2527">
        <f>ROUND(D12*E12*F12*G12/10000,0)</f>
        <v>0</v>
      </c>
    </row>
    <row r="13" spans="1:9">
      <c r="A13" s="3552"/>
      <c r="B13" s="3553" t="s">
        <v>2494</v>
      </c>
      <c r="C13" s="3553"/>
      <c r="D13" s="2528"/>
      <c r="E13" s="2528"/>
      <c r="F13" s="2529"/>
      <c r="G13" s="2530"/>
      <c r="H13" s="2537"/>
      <c r="I13" s="2527">
        <f>ROUND(D13*E13*F13*G13/10000,0)</f>
        <v>0</v>
      </c>
    </row>
    <row r="14" spans="1:9">
      <c r="A14" s="3552"/>
      <c r="B14" s="3553" t="s">
        <v>2495</v>
      </c>
      <c r="C14" s="3553"/>
      <c r="D14" s="2528"/>
      <c r="E14" s="2528"/>
      <c r="F14" s="2529"/>
      <c r="G14" s="2530"/>
      <c r="H14" s="2537"/>
      <c r="I14" s="2527">
        <f>ROUND(D14*E14*F14*G14/10000,0)</f>
        <v>0</v>
      </c>
    </row>
    <row r="15" spans="1:9">
      <c r="A15" s="3552"/>
      <c r="B15" s="3554" t="s">
        <v>2484</v>
      </c>
      <c r="C15" s="3554"/>
      <c r="D15" s="2532"/>
      <c r="E15" s="2532">
        <f>SUM(E12:E14)</f>
        <v>0</v>
      </c>
      <c r="F15" s="2533"/>
      <c r="G15" s="2530"/>
      <c r="H15" s="2537"/>
      <c r="I15" s="2538">
        <f>SUM(I12:I14)</f>
        <v>0</v>
      </c>
    </row>
    <row r="16" spans="1:9" ht="24">
      <c r="A16" s="3552" t="s">
        <v>2496</v>
      </c>
      <c r="B16" s="3553" t="s">
        <v>2497</v>
      </c>
      <c r="C16" s="3553"/>
      <c r="D16" s="2528" t="s">
        <v>2498</v>
      </c>
      <c r="E16" s="2539" t="s">
        <v>2499</v>
      </c>
      <c r="F16" s="2529" t="s">
        <v>2500</v>
      </c>
      <c r="G16" s="2530" t="s">
        <v>2490</v>
      </c>
      <c r="H16" s="2536" t="s">
        <v>2491</v>
      </c>
      <c r="I16" s="2527" t="s">
        <v>2492</v>
      </c>
    </row>
    <row r="17" spans="1:9" ht="14.25">
      <c r="A17" s="3552"/>
      <c r="B17" s="3553" t="s">
        <v>2501</v>
      </c>
      <c r="C17" s="3553"/>
      <c r="D17" s="2528"/>
      <c r="E17" s="2528"/>
      <c r="F17" s="2529"/>
      <c r="G17" s="2530"/>
      <c r="H17" s="2540"/>
      <c r="I17" s="2541">
        <f>ROUND(D17*E17*F17*G17/10000,0)</f>
        <v>0</v>
      </c>
    </row>
    <row r="18" spans="1:9" ht="14.25">
      <c r="A18" s="3552"/>
      <c r="B18" s="3553" t="s">
        <v>2502</v>
      </c>
      <c r="C18" s="3553"/>
      <c r="D18" s="2528"/>
      <c r="E18" s="2528"/>
      <c r="F18" s="2529"/>
      <c r="G18" s="2530"/>
      <c r="H18" s="2540"/>
      <c r="I18" s="2541">
        <f>ROUND(D18*E18*F18*G18/10000,0)</f>
        <v>0</v>
      </c>
    </row>
    <row r="19" spans="1:9" ht="14.25">
      <c r="A19" s="3552"/>
      <c r="B19" s="3553" t="s">
        <v>2503</v>
      </c>
      <c r="C19" s="3553"/>
      <c r="D19" s="2528"/>
      <c r="E19" s="2528"/>
      <c r="F19" s="2529"/>
      <c r="G19" s="2530"/>
      <c r="H19" s="2540"/>
      <c r="I19" s="2541">
        <f>ROUND(D19*E19*F19*G19/10000,0)</f>
        <v>0</v>
      </c>
    </row>
    <row r="20" spans="1:9">
      <c r="A20" s="3552"/>
      <c r="B20" s="3554" t="s">
        <v>2484</v>
      </c>
      <c r="C20" s="3554"/>
      <c r="D20" s="2532">
        <f>SUM(D17:D19)</f>
        <v>0</v>
      </c>
      <c r="E20" s="2532"/>
      <c r="F20" s="2533"/>
      <c r="G20" s="2530"/>
      <c r="H20" s="2537"/>
      <c r="I20" s="2538">
        <f>SUM(I17:I19)</f>
        <v>0</v>
      </c>
    </row>
    <row r="21" spans="1:9">
      <c r="A21" s="3552" t="s">
        <v>2504</v>
      </c>
      <c r="B21" s="3555"/>
      <c r="C21" s="3555"/>
      <c r="D21" s="3555"/>
      <c r="E21" s="3555"/>
      <c r="F21" s="3555"/>
      <c r="G21" s="3555"/>
      <c r="H21" s="2542">
        <v>0.1</v>
      </c>
      <c r="I21" s="2535">
        <f>ROUND(I10*H21,0)</f>
        <v>0</v>
      </c>
    </row>
    <row r="22" spans="1:9" ht="14.25">
      <c r="A22" s="3556" t="s">
        <v>2505</v>
      </c>
      <c r="B22" s="3557"/>
      <c r="C22" s="3558"/>
      <c r="D22" s="2543" t="s">
        <v>2506</v>
      </c>
      <c r="E22" s="2543" t="s">
        <v>2507</v>
      </c>
      <c r="F22" s="2544" t="s">
        <v>2508</v>
      </c>
      <c r="G22" s="2544" t="s">
        <v>2509</v>
      </c>
      <c r="H22" s="2536" t="s">
        <v>2510</v>
      </c>
      <c r="I22" s="2527" t="s">
        <v>2511</v>
      </c>
    </row>
    <row r="23" spans="1:9" ht="14.25" thickBot="1">
      <c r="A23" s="3559"/>
      <c r="B23" s="3560"/>
      <c r="C23" s="3561"/>
      <c r="D23" s="2545"/>
      <c r="E23" s="2545"/>
      <c r="F23" s="2545"/>
      <c r="G23" s="2546"/>
      <c r="H23" s="2547"/>
      <c r="I23" s="2548">
        <f>ROUND(E23*D23*F23*(1-G23)/10000,0)</f>
        <v>0</v>
      </c>
    </row>
    <row r="26" spans="1:9">
      <c r="A26" s="2549" t="s">
        <v>2512</v>
      </c>
      <c r="B26" s="2549"/>
      <c r="C26" s="2549"/>
      <c r="D26" s="2549"/>
      <c r="E26" s="3549">
        <f>C27-C30-C31-C32</f>
        <v>0</v>
      </c>
      <c r="F26" s="3549"/>
      <c r="G26" s="3549"/>
      <c r="H26" s="3063" t="s">
        <v>2842</v>
      </c>
    </row>
    <row r="27" spans="1:9">
      <c r="A27" s="2550">
        <v>1</v>
      </c>
      <c r="B27" s="2551" t="s">
        <v>2513</v>
      </c>
      <c r="C27" s="2551"/>
      <c r="D27" s="2551"/>
      <c r="E27" s="3550"/>
      <c r="F27" s="3550"/>
      <c r="G27" s="3550"/>
    </row>
    <row r="28" spans="1:9">
      <c r="A28" s="2552" t="s">
        <v>2514</v>
      </c>
      <c r="B28" s="2551" t="s">
        <v>2515</v>
      </c>
      <c r="C28" s="2551"/>
      <c r="D28" s="2551"/>
      <c r="E28" s="3550"/>
      <c r="F28" s="3550"/>
      <c r="G28" s="3550"/>
    </row>
    <row r="29" spans="1:9">
      <c r="A29" s="2552" t="s">
        <v>2516</v>
      </c>
      <c r="B29" s="2551" t="s">
        <v>2456</v>
      </c>
      <c r="C29" s="2551"/>
      <c r="D29" s="2551"/>
      <c r="E29" s="2551" t="s">
        <v>2517</v>
      </c>
      <c r="F29" s="2551"/>
      <c r="G29" s="2551"/>
    </row>
    <row r="30" spans="1:9">
      <c r="A30" s="2550">
        <v>2</v>
      </c>
      <c r="B30" s="2551" t="s">
        <v>2518</v>
      </c>
      <c r="C30" s="2551">
        <f>C27*D30</f>
        <v>0</v>
      </c>
      <c r="D30" s="2553">
        <v>0.2</v>
      </c>
      <c r="E30" s="2551" t="s">
        <v>2519</v>
      </c>
      <c r="F30" s="2551"/>
      <c r="G30" s="2551"/>
    </row>
    <row r="31" spans="1:9">
      <c r="A31" s="2550">
        <v>3</v>
      </c>
      <c r="B31" s="2551" t="s">
        <v>2520</v>
      </c>
      <c r="C31" s="2551">
        <f>C25*D31</f>
        <v>0</v>
      </c>
      <c r="D31" s="2553">
        <v>0.15</v>
      </c>
      <c r="E31" s="2551" t="s">
        <v>2521</v>
      </c>
      <c r="F31" s="2551"/>
      <c r="G31" s="2551"/>
    </row>
    <row r="32" spans="1:9">
      <c r="A32" s="2550">
        <v>4</v>
      </c>
      <c r="B32" s="2551" t="s">
        <v>2522</v>
      </c>
      <c r="C32" s="2551">
        <f>C27*D32</f>
        <v>0</v>
      </c>
      <c r="D32" s="2553">
        <v>0.05</v>
      </c>
      <c r="E32" s="3551"/>
      <c r="F32" s="3551"/>
      <c r="G32" s="3551"/>
    </row>
    <row r="33" spans="1:7" hidden="1">
      <c r="A33" s="3546" t="s">
        <v>2523</v>
      </c>
      <c r="B33" s="3547"/>
      <c r="C33" s="3547"/>
      <c r="D33" s="3548"/>
      <c r="E33" s="3549"/>
      <c r="F33" s="3549"/>
      <c r="G33" s="3549"/>
    </row>
    <row r="34" spans="1:7" hidden="1">
      <c r="A34" s="2554">
        <v>1</v>
      </c>
      <c r="B34" s="2551" t="s">
        <v>2524</v>
      </c>
      <c r="C34" s="2551"/>
      <c r="D34" s="2551"/>
      <c r="E34" s="3550"/>
      <c r="F34" s="3550"/>
      <c r="G34" s="3550"/>
    </row>
    <row r="35" spans="1:7" hidden="1">
      <c r="A35" s="2554">
        <v>2</v>
      </c>
      <c r="B35" s="2551" t="s">
        <v>2525</v>
      </c>
      <c r="C35" s="2551"/>
      <c r="D35" s="2551"/>
      <c r="E35" s="3550"/>
      <c r="F35" s="3550"/>
      <c r="G35" s="3550"/>
    </row>
    <row r="36" spans="1:7" hidden="1">
      <c r="A36" s="2554">
        <v>3</v>
      </c>
      <c r="B36" s="2551" t="s">
        <v>2526</v>
      </c>
      <c r="C36" s="2551"/>
      <c r="D36" s="2551"/>
      <c r="E36" s="3550"/>
      <c r="F36" s="3550"/>
      <c r="G36" s="3550"/>
    </row>
    <row r="37" spans="1:7" hidden="1">
      <c r="A37" s="2554">
        <v>4</v>
      </c>
      <c r="B37" s="2551" t="s">
        <v>2527</v>
      </c>
      <c r="C37" s="2551"/>
      <c r="D37" s="2551"/>
      <c r="E37" s="3550"/>
      <c r="F37" s="3550"/>
      <c r="G37" s="3550"/>
    </row>
    <row r="38" spans="1:7" hidden="1">
      <c r="A38" s="3546" t="s">
        <v>2528</v>
      </c>
      <c r="B38" s="3547"/>
      <c r="C38" s="3547"/>
      <c r="D38" s="3548"/>
      <c r="E38" s="3549"/>
      <c r="F38" s="3549"/>
      <c r="G38" s="354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I47" sqref="I47"/>
    </sheetView>
  </sheetViews>
  <sheetFormatPr defaultColWidth="8.375" defaultRowHeight="12.75"/>
  <cols>
    <col min="1" max="1" width="9.375" style="2180" customWidth="1"/>
    <col min="2" max="2" width="26.625" style="2181" customWidth="1"/>
    <col min="3" max="3" width="11.125" style="2181" customWidth="1"/>
    <col min="4" max="5" width="11.125" style="2182" customWidth="1"/>
    <col min="6" max="6" width="9.5" style="2181" customWidth="1"/>
    <col min="7" max="7" width="31.875" style="2181" customWidth="1"/>
    <col min="8" max="25" width="9" style="2183" customWidth="1"/>
    <col min="26" max="254" width="9" style="2181" customWidth="1"/>
    <col min="255" max="16384" width="8.375" style="2181"/>
  </cols>
  <sheetData>
    <row r="1" spans="1:25" s="2054" customFormat="1" ht="20.25">
      <c r="A1" s="419" t="s">
        <v>597</v>
      </c>
      <c r="B1" s="738"/>
      <c r="C1" s="2177"/>
      <c r="D1" s="2177"/>
      <c r="E1" s="2177"/>
      <c r="F1" s="2177"/>
      <c r="G1" s="2103"/>
    </row>
    <row r="2" spans="1:25" s="2054" customFormat="1" ht="18" customHeight="1">
      <c r="A2" s="421" t="s">
        <v>460</v>
      </c>
      <c r="B2" s="423">
        <f ca="1">C23</f>
        <v>0</v>
      </c>
      <c r="C2" s="2103"/>
      <c r="D2" s="2103"/>
      <c r="E2" s="2103"/>
      <c r="F2" s="2103"/>
      <c r="G2" s="2103"/>
    </row>
    <row r="3" spans="1:25" s="2054" customFormat="1" ht="18" customHeight="1">
      <c r="A3" s="1374" t="s">
        <v>1679</v>
      </c>
      <c r="B3" s="423">
        <f ca="1">ROUND(B2*10000/'数据-汇总表'!E3,0)</f>
        <v>0</v>
      </c>
      <c r="C3" s="2103"/>
      <c r="D3" s="2103"/>
      <c r="E3" s="2103"/>
      <c r="F3" s="2103"/>
      <c r="G3" s="2103"/>
    </row>
    <row r="4" spans="1:25" s="2054" customFormat="1" ht="18" customHeight="1">
      <c r="A4" s="424" t="s">
        <v>461</v>
      </c>
      <c r="B4" s="425">
        <f ca="1">ROUND(B2*10000/'数据-汇总表'!D3,0)</f>
        <v>0</v>
      </c>
      <c r="C4" s="2056"/>
      <c r="D4" s="2103"/>
      <c r="E4" s="2103"/>
      <c r="F4" s="2103"/>
      <c r="G4" s="2103"/>
    </row>
    <row r="5" spans="1:25" s="2054" customFormat="1" ht="18" customHeight="1" thickBot="1">
      <c r="A5" s="427"/>
      <c r="B5" s="428">
        <f ca="1">ROUND(B2/('数据-汇总表'!D3/666.67),0)</f>
        <v>0</v>
      </c>
      <c r="C5" s="429" t="s">
        <v>462</v>
      </c>
      <c r="D5" s="2103"/>
      <c r="E5" s="2103"/>
      <c r="F5" s="2103"/>
      <c r="G5" s="2103"/>
    </row>
    <row r="6" spans="1:25" s="2178" customFormat="1" ht="13.5" customHeight="1">
      <c r="A6" s="739"/>
      <c r="B6" s="740" t="s">
        <v>598</v>
      </c>
      <c r="C6" s="741" t="s">
        <v>599</v>
      </c>
      <c r="D6" s="741" t="s">
        <v>600</v>
      </c>
      <c r="E6" s="742" t="s">
        <v>601</v>
      </c>
      <c r="F6" s="742" t="s">
        <v>602</v>
      </c>
      <c r="G6" s="743"/>
    </row>
    <row r="7" spans="1:25" s="2178" customFormat="1" ht="13.5" customHeight="1">
      <c r="A7" s="2488">
        <v>1</v>
      </c>
      <c r="B7" s="744" t="s">
        <v>603</v>
      </c>
      <c r="C7" s="745">
        <f>C8+C9</f>
        <v>0</v>
      </c>
      <c r="D7" s="745"/>
      <c r="E7" s="746"/>
      <c r="F7" s="746"/>
      <c r="G7" s="2498"/>
    </row>
    <row r="8" spans="1:25" s="2178" customFormat="1" ht="13.5" customHeight="1">
      <c r="A8" s="2488" t="s">
        <v>2435</v>
      </c>
      <c r="B8" s="2491" t="s">
        <v>2437</v>
      </c>
      <c r="C8" s="2492"/>
      <c r="D8" s="745"/>
      <c r="E8" s="746"/>
      <c r="F8" s="746"/>
      <c r="G8" s="747"/>
    </row>
    <row r="9" spans="1:25" s="2178" customFormat="1" ht="13.5" customHeight="1">
      <c r="A9" s="2488" t="s">
        <v>2436</v>
      </c>
      <c r="B9" s="2491" t="s">
        <v>2438</v>
      </c>
      <c r="C9" s="2492"/>
      <c r="D9" s="745"/>
      <c r="E9" s="746"/>
      <c r="F9" s="746"/>
      <c r="G9" s="747"/>
    </row>
    <row r="10" spans="1:25" s="2178" customFormat="1" ht="36">
      <c r="A10" s="2488">
        <v>2</v>
      </c>
      <c r="B10" s="744" t="s">
        <v>607</v>
      </c>
      <c r="C10" s="745">
        <f>C11+C14+C15</f>
        <v>0</v>
      </c>
      <c r="D10" s="756">
        <f>'数据-汇总表'!E3</f>
        <v>412759.99</v>
      </c>
      <c r="E10" s="745">
        <f>'数据-取费表'!B31</f>
        <v>100</v>
      </c>
      <c r="F10" s="757"/>
      <c r="G10" s="755" t="s">
        <v>608</v>
      </c>
    </row>
    <row r="11" spans="1:25" s="2178" customFormat="1" ht="13.5" customHeight="1">
      <c r="A11" s="2488" t="s">
        <v>2435</v>
      </c>
      <c r="B11" s="748" t="s">
        <v>604</v>
      </c>
      <c r="C11" s="749">
        <f>'数据-取费表'!B29</f>
        <v>0</v>
      </c>
      <c r="D11" s="750"/>
      <c r="E11" s="749"/>
      <c r="F11" s="751"/>
      <c r="G11" s="2497" t="s">
        <v>2446</v>
      </c>
    </row>
    <row r="12" spans="1:25" s="2178" customFormat="1" ht="13.5" customHeight="1">
      <c r="A12" s="2495" t="s">
        <v>2443</v>
      </c>
      <c r="B12" s="752" t="s">
        <v>605</v>
      </c>
      <c r="C12" s="753">
        <f>ROUND(D12*E12/10000,0)</f>
        <v>4615</v>
      </c>
      <c r="D12" s="754">
        <f>'数据-汇总表'!E5</f>
        <v>159154</v>
      </c>
      <c r="E12" s="753">
        <f>'数据-取费表'!B27</f>
        <v>290</v>
      </c>
      <c r="F12" s="751"/>
      <c r="G12" s="755"/>
    </row>
    <row r="13" spans="1:25" s="2178" customFormat="1" ht="13.5" customHeight="1">
      <c r="A13" s="2495" t="s">
        <v>2442</v>
      </c>
      <c r="B13" s="752" t="s">
        <v>606</v>
      </c>
      <c r="C13" s="753">
        <f>ROUND(D13*E13/10000,0)</f>
        <v>8115</v>
      </c>
      <c r="D13" s="754">
        <f>'数据-汇总表'!E6</f>
        <v>253605.99</v>
      </c>
      <c r="E13" s="753">
        <f>'数据-取费表'!B28</f>
        <v>320</v>
      </c>
      <c r="F13" s="751"/>
      <c r="G13" s="755"/>
    </row>
    <row r="14" spans="1:25" s="2178" customFormat="1" ht="13.5" customHeight="1">
      <c r="A14" s="2488" t="s">
        <v>2436</v>
      </c>
      <c r="B14" s="2494" t="s">
        <v>2439</v>
      </c>
      <c r="C14" s="2492"/>
      <c r="D14" s="754"/>
      <c r="E14" s="753"/>
      <c r="F14" s="2493"/>
      <c r="G14" s="2496" t="s">
        <v>2444</v>
      </c>
    </row>
    <row r="15" spans="1:25" s="2178" customFormat="1" ht="13.5" customHeight="1">
      <c r="A15" s="2488" t="s">
        <v>2441</v>
      </c>
      <c r="B15" s="2494" t="s">
        <v>2440</v>
      </c>
      <c r="C15" s="2492"/>
      <c r="D15" s="754"/>
      <c r="E15" s="753"/>
      <c r="F15" s="2493"/>
      <c r="G15" s="2496" t="s">
        <v>2445</v>
      </c>
    </row>
    <row r="16" spans="1:25" s="2179" customFormat="1" ht="48">
      <c r="A16" s="2488">
        <v>3</v>
      </c>
      <c r="B16" s="744" t="s">
        <v>609</v>
      </c>
      <c r="C16" s="2492"/>
      <c r="D16" s="756"/>
      <c r="E16" s="745"/>
      <c r="F16" s="757"/>
      <c r="G16" s="755" t="s">
        <v>2447</v>
      </c>
      <c r="H16" s="2178"/>
      <c r="I16" s="2178"/>
      <c r="J16" s="2178"/>
      <c r="K16" s="2178"/>
      <c r="L16" s="2178"/>
      <c r="M16" s="2178"/>
      <c r="N16" s="2178"/>
      <c r="O16" s="2178"/>
      <c r="P16" s="2178"/>
      <c r="Q16" s="2178"/>
      <c r="R16" s="2178"/>
      <c r="S16" s="2178"/>
      <c r="T16" s="2178"/>
      <c r="U16" s="2178"/>
      <c r="V16" s="2178"/>
      <c r="W16" s="2178"/>
      <c r="X16" s="2178"/>
      <c r="Y16" s="2178"/>
    </row>
    <row r="17" spans="1:25" s="2179" customFormat="1" ht="25.5">
      <c r="A17" s="2489">
        <v>4</v>
      </c>
      <c r="B17" s="744" t="s">
        <v>610</v>
      </c>
      <c r="C17" s="2592">
        <f ca="1">ROUND(IF('数据-取费表'!B19&lt;=1,((C7+C16)*'数据-取费表'!B19+C10*'数据-取费表'!B19/2)*F17,((C7+C16)*(POWER((1+F17),'数据-取费表'!B19)-1)+C10*(POWER((1+F17),'数据-取费表'!B19/2)-1))),0)</f>
        <v>0</v>
      </c>
      <c r="D17" s="758"/>
      <c r="E17" s="759"/>
      <c r="F17" s="760">
        <f ca="1">存贷款利率!E3</f>
        <v>0</v>
      </c>
      <c r="G17" s="761" t="str">
        <f>IF('数据-取费表'!B19&lt;=1,"((１＋３)×土地开发期+２×(土地开发期÷２))×利率","((１＋３)×((1+利率)^土地开发期-1)+２×((1+利率)^(土地开发期÷２)-1)")</f>
        <v>((１＋３)×土地开发期+２×(土地开发期÷２))×利率</v>
      </c>
      <c r="H17" s="2500"/>
      <c r="I17" s="2178"/>
      <c r="J17" s="2178"/>
      <c r="K17" s="2178"/>
      <c r="L17" s="2178"/>
      <c r="M17" s="2178"/>
      <c r="N17" s="2178"/>
      <c r="O17" s="2178"/>
      <c r="P17" s="2178"/>
      <c r="Q17" s="2178"/>
      <c r="R17" s="2178"/>
      <c r="S17" s="2178"/>
      <c r="T17" s="2178"/>
      <c r="U17" s="2178"/>
      <c r="V17" s="2178"/>
      <c r="W17" s="2178"/>
      <c r="X17" s="2178"/>
      <c r="Y17" s="2178"/>
    </row>
    <row r="18" spans="1:25" s="2179" customFormat="1" ht="13.5" customHeight="1">
      <c r="A18" s="2489">
        <v>5</v>
      </c>
      <c r="B18" s="744" t="s">
        <v>611</v>
      </c>
      <c r="C18" s="745">
        <f>ROUND((C7+C10+C16)*F18,0)</f>
        <v>0</v>
      </c>
      <c r="D18" s="758"/>
      <c r="E18" s="759"/>
      <c r="F18" s="757">
        <f>'数据-取费表'!Q16</f>
        <v>0.14000000000000001</v>
      </c>
      <c r="G18" s="761" t="s">
        <v>612</v>
      </c>
      <c r="H18" s="2178"/>
      <c r="I18" s="2178"/>
      <c r="J18" s="2178"/>
      <c r="K18" s="2178"/>
      <c r="L18" s="2178"/>
      <c r="M18" s="2178"/>
      <c r="N18" s="2178"/>
      <c r="O18" s="2178"/>
      <c r="P18" s="2178"/>
      <c r="Q18" s="2178"/>
      <c r="R18" s="2178"/>
      <c r="S18" s="2178"/>
      <c r="T18" s="2178"/>
      <c r="U18" s="2178"/>
      <c r="V18" s="2178"/>
      <c r="W18" s="2178"/>
      <c r="X18" s="2178"/>
      <c r="Y18" s="2178"/>
    </row>
    <row r="19" spans="1:25" s="2179" customFormat="1" ht="13.5" customHeight="1">
      <c r="A19" s="2488">
        <v>6</v>
      </c>
      <c r="B19" s="744" t="s">
        <v>613</v>
      </c>
      <c r="C19" s="745">
        <f ca="1">C7+C10+C16+C17+C18</f>
        <v>0</v>
      </c>
      <c r="D19" s="756"/>
      <c r="E19" s="745"/>
      <c r="F19" s="757"/>
      <c r="G19" s="761" t="s">
        <v>614</v>
      </c>
      <c r="H19" s="2178"/>
      <c r="I19" s="2178"/>
      <c r="J19" s="2178"/>
      <c r="K19" s="2178"/>
      <c r="L19" s="2178"/>
      <c r="M19" s="2178"/>
      <c r="N19" s="2178"/>
      <c r="O19" s="2178"/>
      <c r="P19" s="2178"/>
      <c r="Q19" s="2178"/>
      <c r="R19" s="2178"/>
      <c r="S19" s="2178"/>
      <c r="T19" s="2178"/>
      <c r="U19" s="2178"/>
      <c r="V19" s="2178"/>
      <c r="W19" s="2178"/>
      <c r="X19" s="2178"/>
      <c r="Y19" s="2178"/>
    </row>
    <row r="20" spans="1:25" s="2179" customFormat="1" ht="24.75">
      <c r="A20" s="2488">
        <v>7</v>
      </c>
      <c r="B20" s="744" t="s">
        <v>615</v>
      </c>
      <c r="C20" s="745">
        <f ca="1">ROUND(C19*F20,0)</f>
        <v>0</v>
      </c>
      <c r="D20" s="756"/>
      <c r="E20" s="745"/>
      <c r="F20" s="1344"/>
      <c r="G20" s="761" t="s">
        <v>616</v>
      </c>
      <c r="H20" s="2178"/>
      <c r="I20" s="2178"/>
      <c r="J20" s="2178"/>
      <c r="K20" s="2178"/>
      <c r="L20" s="2178"/>
      <c r="M20" s="2178"/>
      <c r="N20" s="2178"/>
      <c r="O20" s="2178"/>
      <c r="P20" s="2178"/>
      <c r="Q20" s="2178"/>
      <c r="R20" s="2178"/>
      <c r="S20" s="2178"/>
      <c r="T20" s="2178"/>
      <c r="U20" s="2178"/>
      <c r="V20" s="2178"/>
      <c r="W20" s="2178"/>
      <c r="X20" s="2178"/>
      <c r="Y20" s="2178"/>
    </row>
    <row r="21" spans="1:25" s="2179" customFormat="1">
      <c r="A21" s="2488">
        <v>8</v>
      </c>
      <c r="B21" s="744" t="s">
        <v>617</v>
      </c>
      <c r="C21" s="745">
        <f ca="1">C19+C20</f>
        <v>0</v>
      </c>
      <c r="D21" s="756"/>
      <c r="E21" s="745"/>
      <c r="F21" s="757"/>
      <c r="G21" s="761" t="s">
        <v>618</v>
      </c>
      <c r="H21" s="2178"/>
      <c r="I21" s="2178"/>
      <c r="J21" s="2178"/>
      <c r="K21" s="2178"/>
      <c r="L21" s="2178"/>
      <c r="M21" s="2178"/>
      <c r="N21" s="2178"/>
      <c r="O21" s="2178"/>
      <c r="P21" s="2178"/>
      <c r="Q21" s="2178"/>
      <c r="R21" s="2178"/>
      <c r="S21" s="2178"/>
      <c r="T21" s="2178"/>
      <c r="U21" s="2178"/>
      <c r="V21" s="2178"/>
      <c r="W21" s="2178"/>
      <c r="X21" s="2178"/>
      <c r="Y21" s="2178"/>
    </row>
    <row r="22" spans="1:25" s="2179" customFormat="1" ht="13.5" customHeight="1">
      <c r="A22" s="2488">
        <v>9</v>
      </c>
      <c r="B22" s="744" t="s">
        <v>619</v>
      </c>
      <c r="C22" s="745">
        <f ca="1">ROUND(C21*F22,0)</f>
        <v>0</v>
      </c>
      <c r="D22" s="756"/>
      <c r="E22" s="745"/>
      <c r="F22" s="762">
        <f>'数据-取费表'!AP16</f>
        <v>0.93100000000000005</v>
      </c>
      <c r="G22" s="761" t="s">
        <v>620</v>
      </c>
      <c r="H22" s="2178"/>
      <c r="I22" s="2178"/>
      <c r="J22" s="2178"/>
      <c r="K22" s="2178"/>
      <c r="L22" s="2178"/>
      <c r="M22" s="2178"/>
      <c r="N22" s="2178"/>
      <c r="O22" s="2178"/>
      <c r="P22" s="2178"/>
      <c r="Q22" s="2178"/>
      <c r="R22" s="2178"/>
      <c r="S22" s="2178"/>
      <c r="T22" s="2178"/>
      <c r="U22" s="2178"/>
      <c r="V22" s="2178"/>
      <c r="W22" s="2178"/>
      <c r="X22" s="2178"/>
      <c r="Y22" s="2178"/>
    </row>
    <row r="23" spans="1:25" s="2179" customFormat="1" ht="13.5" customHeight="1" thickBot="1">
      <c r="A23" s="2490">
        <v>10</v>
      </c>
      <c r="B23" s="763" t="s">
        <v>621</v>
      </c>
      <c r="C23" s="764">
        <f ca="1">C22</f>
        <v>0</v>
      </c>
      <c r="D23" s="765"/>
      <c r="E23" s="764"/>
      <c r="F23" s="766"/>
      <c r="G23" s="767"/>
      <c r="H23" s="2178"/>
      <c r="I23" s="2178"/>
      <c r="J23" s="2178"/>
      <c r="K23" s="2178"/>
      <c r="L23" s="2178"/>
      <c r="M23" s="2178"/>
      <c r="N23" s="2178"/>
      <c r="O23" s="2178"/>
      <c r="P23" s="2178"/>
      <c r="Q23" s="2178"/>
      <c r="R23" s="2178"/>
      <c r="S23" s="2178"/>
      <c r="T23" s="2178"/>
      <c r="U23" s="2178"/>
      <c r="V23" s="2178"/>
      <c r="W23" s="2178"/>
      <c r="X23" s="2178"/>
      <c r="Y23" s="217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22" zoomScale="80" zoomScaleNormal="80" workbookViewId="0">
      <selection activeCell="K57" sqref="K57"/>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0" t="s">
        <v>712</v>
      </c>
      <c r="B1" s="501" t="s">
        <v>750</v>
      </c>
      <c r="C1" s="502" t="s">
        <v>714</v>
      </c>
      <c r="D1" s="2365"/>
      <c r="E1" s="504"/>
      <c r="F1" s="2828"/>
      <c r="G1" s="1596" t="s">
        <v>715</v>
      </c>
      <c r="H1" s="504"/>
      <c r="I1" s="504"/>
      <c r="J1" s="504"/>
      <c r="K1" s="505"/>
      <c r="L1" s="1557"/>
      <c r="M1" s="1558"/>
      <c r="N1" s="1558"/>
      <c r="O1" s="1558"/>
      <c r="P1" s="1559"/>
      <c r="Q1" s="1559"/>
      <c r="R1" s="1559"/>
      <c r="S1" s="1559"/>
      <c r="T1" s="1559"/>
      <c r="U1" s="1559"/>
      <c r="V1" s="1559"/>
      <c r="W1" s="1559"/>
      <c r="X1" s="1559"/>
      <c r="Y1" s="1559"/>
      <c r="Z1" s="1559"/>
      <c r="AA1" s="1559"/>
      <c r="AB1" s="1559"/>
      <c r="AC1" s="1560"/>
    </row>
    <row r="2" spans="1:29" s="1331" customFormat="1" ht="28.5" customHeight="1">
      <c r="A2" s="421" t="s">
        <v>460</v>
      </c>
      <c r="B2" s="846" t="e">
        <f>ROUND(B3*D3/10000,0)</f>
        <v>#DIV/0!</v>
      </c>
      <c r="C2" s="2122"/>
      <c r="D2" s="2122"/>
      <c r="E2" s="2056"/>
      <c r="F2" s="2124"/>
      <c r="G2" s="2123"/>
      <c r="H2" s="2123"/>
      <c r="I2" s="2123"/>
      <c r="J2" s="2123"/>
      <c r="K2" s="2123"/>
      <c r="L2" s="2126"/>
      <c r="M2" s="2127"/>
      <c r="N2" s="2127"/>
      <c r="O2" s="2127"/>
      <c r="P2" s="1559"/>
      <c r="Q2" s="1559"/>
      <c r="R2" s="1559"/>
      <c r="S2" s="1559"/>
      <c r="T2" s="1559"/>
      <c r="U2" s="1559"/>
      <c r="V2" s="1559"/>
      <c r="W2" s="1559"/>
      <c r="X2" s="1559"/>
      <c r="Y2" s="1559"/>
      <c r="Z2" s="1559"/>
      <c r="AA2" s="1559"/>
      <c r="AB2" s="1559"/>
      <c r="AC2" s="1560"/>
    </row>
    <row r="3" spans="1:29" s="1331" customFormat="1" ht="28.5" customHeight="1" thickBot="1">
      <c r="A3" s="507" t="s">
        <v>513</v>
      </c>
      <c r="B3" s="508" t="e">
        <f>C49</f>
        <v>#DIV/0!</v>
      </c>
      <c r="C3" s="848" t="s">
        <v>716</v>
      </c>
      <c r="D3" s="847">
        <f>SUMIF('数据-汇总表'!$C19:$C33,D1,'数据-汇总表'!$E19:$E33)</f>
        <v>0</v>
      </c>
      <c r="E3" s="2056"/>
      <c r="F3" s="2124"/>
      <c r="G3" s="2123"/>
      <c r="H3" s="2123"/>
      <c r="I3" s="2123"/>
      <c r="J3" s="2123"/>
      <c r="K3" s="2125"/>
      <c r="L3" s="2126"/>
      <c r="M3" s="2127"/>
      <c r="N3" s="2127"/>
      <c r="O3" s="2127"/>
      <c r="P3" s="1559"/>
      <c r="Q3" s="1559"/>
      <c r="R3" s="1559"/>
      <c r="S3" s="1559"/>
      <c r="T3" s="1559"/>
      <c r="U3" s="1559"/>
      <c r="V3" s="1559"/>
      <c r="W3" s="1559"/>
      <c r="X3" s="1559"/>
      <c r="Y3" s="1559"/>
      <c r="Z3" s="1559"/>
      <c r="AA3" s="1559"/>
      <c r="AB3" s="1559"/>
      <c r="AC3" s="426"/>
    </row>
    <row r="4" spans="1:29" ht="15">
      <c r="A4" s="510" t="s">
        <v>515</v>
      </c>
      <c r="B4" s="511"/>
      <c r="C4" s="3469" t="s">
        <v>516</v>
      </c>
      <c r="D4" s="3470"/>
      <c r="E4" s="3493" t="s">
        <v>517</v>
      </c>
      <c r="F4" s="3494"/>
      <c r="G4" s="3469" t="s">
        <v>518</v>
      </c>
      <c r="H4" s="3470"/>
      <c r="I4" s="3469" t="s">
        <v>519</v>
      </c>
      <c r="J4" s="3470"/>
      <c r="K4" s="512" t="s">
        <v>520</v>
      </c>
      <c r="L4" s="2128"/>
      <c r="M4" s="2129"/>
      <c r="N4" s="2129"/>
      <c r="O4" s="2129"/>
      <c r="P4" s="3471" t="s">
        <v>521</v>
      </c>
      <c r="Q4" s="3472"/>
      <c r="R4" s="3457" t="s">
        <v>517</v>
      </c>
      <c r="S4" s="3458"/>
      <c r="T4" s="3457" t="s">
        <v>518</v>
      </c>
      <c r="U4" s="3458"/>
      <c r="V4" s="3477" t="s">
        <v>519</v>
      </c>
      <c r="W4" s="3477"/>
      <c r="X4" s="1562"/>
      <c r="Y4" s="3457" t="s">
        <v>521</v>
      </c>
      <c r="Z4" s="3458"/>
      <c r="AA4" s="3452" t="s">
        <v>517</v>
      </c>
      <c r="AB4" s="3477" t="s">
        <v>518</v>
      </c>
      <c r="AC4" s="3452" t="s">
        <v>519</v>
      </c>
    </row>
    <row r="5" spans="1:29" ht="15">
      <c r="A5" s="513"/>
      <c r="B5" s="514"/>
      <c r="C5" s="3480" t="s">
        <v>2923</v>
      </c>
      <c r="D5" s="3481"/>
      <c r="E5" s="3495" t="s">
        <v>2924</v>
      </c>
      <c r="F5" s="3496"/>
      <c r="G5" s="3480" t="s">
        <v>2925</v>
      </c>
      <c r="H5" s="3481"/>
      <c r="I5" s="3480" t="s">
        <v>2926</v>
      </c>
      <c r="J5" s="3481"/>
      <c r="K5" s="512"/>
      <c r="L5" s="2128"/>
      <c r="M5" s="2129"/>
      <c r="N5" s="2129"/>
      <c r="O5" s="2129"/>
      <c r="P5" s="3473"/>
      <c r="Q5" s="3474"/>
      <c r="R5" s="3459"/>
      <c r="S5" s="3460"/>
      <c r="T5" s="3459"/>
      <c r="U5" s="3460"/>
      <c r="V5" s="3477"/>
      <c r="W5" s="3477"/>
      <c r="X5" s="1562"/>
      <c r="Y5" s="3459"/>
      <c r="Z5" s="3460"/>
      <c r="AA5" s="3453"/>
      <c r="AB5" s="3477"/>
      <c r="AC5" s="3453"/>
    </row>
    <row r="6" spans="1:29" ht="15.75" thickBot="1">
      <c r="A6" s="515"/>
      <c r="B6" s="516"/>
      <c r="C6" s="3478" t="s">
        <v>2927</v>
      </c>
      <c r="D6" s="3479"/>
      <c r="E6" s="3497" t="s">
        <v>2927</v>
      </c>
      <c r="F6" s="3498"/>
      <c r="G6" s="3478" t="s">
        <v>2927</v>
      </c>
      <c r="H6" s="3479"/>
      <c r="I6" s="3478" t="s">
        <v>2927</v>
      </c>
      <c r="J6" s="3479"/>
      <c r="K6" s="512" t="s">
        <v>522</v>
      </c>
      <c r="L6" s="2128"/>
      <c r="M6" s="2129"/>
      <c r="N6" s="2129"/>
      <c r="O6" s="2129"/>
      <c r="P6" s="3475"/>
      <c r="Q6" s="3476"/>
      <c r="R6" s="3459"/>
      <c r="S6" s="3460"/>
      <c r="T6" s="3461"/>
      <c r="U6" s="3462"/>
      <c r="V6" s="3477"/>
      <c r="W6" s="3477"/>
      <c r="X6" s="1562"/>
      <c r="Y6" s="3461"/>
      <c r="Z6" s="3462"/>
      <c r="AA6" s="3454"/>
      <c r="AB6" s="3477"/>
      <c r="AC6" s="3454"/>
    </row>
    <row r="7" spans="1:29" s="1215" customFormat="1" ht="15.75" thickBot="1">
      <c r="A7" s="2933"/>
      <c r="B7" s="2940" t="s">
        <v>523</v>
      </c>
      <c r="C7" s="517">
        <f>'数据-取费表'!B2</f>
        <v>43035</v>
      </c>
      <c r="D7" s="518">
        <v>100</v>
      </c>
      <c r="E7" s="519"/>
      <c r="F7" s="520">
        <f>SUMIF(58:58,YEAR(E7)&amp;"-"&amp;MONTH(E7),59:59)</f>
        <v>0</v>
      </c>
      <c r="G7" s="519"/>
      <c r="H7" s="518">
        <f>SUMIF(58:58,YEAR(G7)&amp;"-"&amp;MONTH(G7),59:59)</f>
        <v>0</v>
      </c>
      <c r="I7" s="519"/>
      <c r="J7" s="518">
        <f>SUMIF(58:58,YEAR(I7)&amp;"-"&amp;MONTH(I7),59:59)</f>
        <v>0</v>
      </c>
      <c r="K7" s="522"/>
      <c r="L7" s="2130"/>
      <c r="M7" s="2131"/>
      <c r="N7" s="2131"/>
      <c r="O7" s="2131"/>
      <c r="P7" s="3455" t="s">
        <v>524</v>
      </c>
      <c r="Q7" s="3464"/>
      <c r="R7" s="1563" t="s">
        <v>8</v>
      </c>
      <c r="S7" s="1564">
        <f t="shared" ref="S7:S15" si="0">F7</f>
        <v>0</v>
      </c>
      <c r="T7" s="1563" t="s">
        <v>8</v>
      </c>
      <c r="U7" s="1564">
        <f t="shared" ref="U7:U15" si="1">H7</f>
        <v>0</v>
      </c>
      <c r="V7" s="1563" t="s">
        <v>8</v>
      </c>
      <c r="W7" s="1564">
        <f t="shared" ref="W7:W15" si="2">J7</f>
        <v>0</v>
      </c>
      <c r="X7" s="1565"/>
      <c r="Y7" s="3455" t="s">
        <v>524</v>
      </c>
      <c r="Z7" s="3456"/>
      <c r="AA7" s="1566" t="e">
        <f>D7/F7</f>
        <v>#DIV/0!</v>
      </c>
      <c r="AB7" s="1566" t="e">
        <f>D7/H7</f>
        <v>#DIV/0!</v>
      </c>
      <c r="AC7" s="1566" t="e">
        <f>D7/J7</f>
        <v>#DIV/0!</v>
      </c>
    </row>
    <row r="8" spans="1:29" s="1215" customFormat="1" ht="15.75" thickBot="1">
      <c r="A8" s="2934"/>
      <c r="B8" s="2941" t="s">
        <v>525</v>
      </c>
      <c r="C8" s="523" t="s">
        <v>570</v>
      </c>
      <c r="D8" s="518">
        <v>100</v>
      </c>
      <c r="E8" s="523"/>
      <c r="F8" s="520">
        <f>SUMIF(61:61,E8,62:62)-SUMIF(61:61,C8,62:62)+100</f>
        <v>0</v>
      </c>
      <c r="G8" s="523"/>
      <c r="H8" s="518">
        <f>SUMIF(61:61,G8,62:62)-SUMIF(61:61,C8,62:62)+100</f>
        <v>0</v>
      </c>
      <c r="I8" s="523"/>
      <c r="J8" s="518">
        <f>SUMIF(61:61,I8,62:62)-SUMIF(61:61,C8,62:62)+100</f>
        <v>0</v>
      </c>
      <c r="K8" s="522"/>
      <c r="L8" s="2130"/>
      <c r="M8" s="2131"/>
      <c r="N8" s="2131"/>
      <c r="O8" s="2131"/>
      <c r="P8" s="3455" t="s">
        <v>527</v>
      </c>
      <c r="Q8" s="3456"/>
      <c r="R8" s="1563" t="s">
        <v>8</v>
      </c>
      <c r="S8" s="1564">
        <f t="shared" si="0"/>
        <v>0</v>
      </c>
      <c r="T8" s="1563" t="s">
        <v>8</v>
      </c>
      <c r="U8" s="1564">
        <f t="shared" si="1"/>
        <v>0</v>
      </c>
      <c r="V8" s="1563" t="s">
        <v>8</v>
      </c>
      <c r="W8" s="1564">
        <f t="shared" si="2"/>
        <v>0</v>
      </c>
      <c r="X8" s="1565"/>
      <c r="Y8" s="3455" t="s">
        <v>527</v>
      </c>
      <c r="Z8" s="3456"/>
      <c r="AA8" s="1566" t="e">
        <f t="shared" ref="AA8:AA46" si="3">D8/F8</f>
        <v>#DIV/0!</v>
      </c>
      <c r="AB8" s="1566" t="e">
        <f t="shared" ref="AB8:AB46" si="4">D8/H8</f>
        <v>#DIV/0!</v>
      </c>
      <c r="AC8" s="1566" t="e">
        <f t="shared" ref="AC8:AC46" si="5">D8/J8</f>
        <v>#DIV/0!</v>
      </c>
    </row>
    <row r="9" spans="1:29" s="1215" customFormat="1" ht="15">
      <c r="A9" s="2935"/>
      <c r="B9" s="2942" t="s">
        <v>2755</v>
      </c>
      <c r="C9" s="853"/>
      <c r="D9" s="249">
        <v>100</v>
      </c>
      <c r="E9" s="856"/>
      <c r="F9" s="249">
        <f>SUMIF(63:63,E9,64:64)-SUMIF(63:63,C9,64:64)+100</f>
        <v>100</v>
      </c>
      <c r="G9" s="854"/>
      <c r="H9" s="249">
        <f>SUMIF(63:63,G9,64:64)-SUMIF(63:63,C9,64:64)+100</f>
        <v>100</v>
      </c>
      <c r="I9" s="854"/>
      <c r="J9" s="249">
        <f>SUMIF(63:63,I9,64:64)-SUMIF(63:63,C9,64:64)+100</f>
        <v>100</v>
      </c>
      <c r="K9" s="522"/>
      <c r="L9" s="2130"/>
      <c r="M9" s="2131"/>
      <c r="N9" s="2131"/>
      <c r="O9" s="2132"/>
      <c r="P9" s="3463" t="s">
        <v>529</v>
      </c>
      <c r="Q9" s="1146" t="str">
        <f t="shared" ref="Q9:Q15" si="6">B9</f>
        <v>用途</v>
      </c>
      <c r="R9" s="1563" t="s">
        <v>8</v>
      </c>
      <c r="S9" s="1564">
        <f t="shared" si="0"/>
        <v>100</v>
      </c>
      <c r="T9" s="1563" t="s">
        <v>8</v>
      </c>
      <c r="U9" s="1564">
        <f t="shared" si="1"/>
        <v>100</v>
      </c>
      <c r="V9" s="1563" t="s">
        <v>8</v>
      </c>
      <c r="W9" s="1564">
        <f t="shared" si="2"/>
        <v>100</v>
      </c>
      <c r="X9" s="1565"/>
      <c r="Y9" s="3420" t="s">
        <v>530</v>
      </c>
      <c r="Z9" s="1145" t="str">
        <f t="shared" ref="Z9:Z15" si="7">Q9</f>
        <v>用途</v>
      </c>
      <c r="AA9" s="1566">
        <f t="shared" si="3"/>
        <v>1</v>
      </c>
      <c r="AB9" s="1566">
        <f t="shared" si="4"/>
        <v>1</v>
      </c>
      <c r="AC9" s="1566">
        <f t="shared" si="5"/>
        <v>1</v>
      </c>
    </row>
    <row r="10" spans="1:29" s="1333" customFormat="1" ht="27">
      <c r="A10" s="2936"/>
      <c r="B10" s="2941" t="s">
        <v>2756</v>
      </c>
      <c r="C10" s="857"/>
      <c r="D10" s="250">
        <v>100</v>
      </c>
      <c r="E10" s="857"/>
      <c r="F10" s="250">
        <f>SUMIF(65:65,E10,66:66)-SUMIF(65:65,C10,66:66)+100</f>
        <v>100</v>
      </c>
      <c r="G10" s="858"/>
      <c r="H10" s="250">
        <f>SUMIF(65:65,G10,66:66)-SUMIF(65:65,C10,66:66)+100</f>
        <v>100</v>
      </c>
      <c r="I10" s="857"/>
      <c r="J10" s="250">
        <f>SUMIF(65:65,I10,66:66)-SUMIF(65:65,C10,66:66)+100</f>
        <v>100</v>
      </c>
      <c r="K10" s="580"/>
      <c r="L10" s="2133"/>
      <c r="M10" s="2173"/>
      <c r="N10" s="2173"/>
      <c r="O10" s="2134"/>
      <c r="P10" s="3463"/>
      <c r="Q10" s="1146" t="str">
        <f t="shared" si="6"/>
        <v>土地使用年限（年）</v>
      </c>
      <c r="R10" s="1563" t="s">
        <v>8</v>
      </c>
      <c r="S10" s="1564">
        <f t="shared" si="0"/>
        <v>100</v>
      </c>
      <c r="T10" s="1563" t="s">
        <v>8</v>
      </c>
      <c r="U10" s="1564">
        <f t="shared" si="1"/>
        <v>100</v>
      </c>
      <c r="V10" s="1563" t="s">
        <v>8</v>
      </c>
      <c r="W10" s="1564">
        <f t="shared" si="2"/>
        <v>100</v>
      </c>
      <c r="X10" s="1565"/>
      <c r="Y10" s="3420"/>
      <c r="Z10" s="1145" t="str">
        <f t="shared" si="7"/>
        <v>土地使用年限（年）</v>
      </c>
      <c r="AA10" s="1566">
        <f t="shared" si="3"/>
        <v>1</v>
      </c>
      <c r="AB10" s="1566">
        <f t="shared" si="4"/>
        <v>1</v>
      </c>
      <c r="AC10" s="1566">
        <f t="shared" si="5"/>
        <v>1</v>
      </c>
    </row>
    <row r="11" spans="1:29" ht="15">
      <c r="A11" s="2937"/>
      <c r="B11" s="2941" t="s">
        <v>2757</v>
      </c>
      <c r="C11" s="529"/>
      <c r="D11" s="250">
        <v>100</v>
      </c>
      <c r="E11" s="529"/>
      <c r="F11" s="250" t="e">
        <f>LOOKUP(E11,68:68,69:69)-LOOKUP(C11,68:68,69:69)+100</f>
        <v>#N/A</v>
      </c>
      <c r="G11" s="530"/>
      <c r="H11" s="250" t="e">
        <f>LOOKUP(G11,68:68,69:69)-LOOKUP(C11,68:68,69:69)+100</f>
        <v>#N/A</v>
      </c>
      <c r="I11" s="529"/>
      <c r="J11" s="250" t="e">
        <f>LOOKUP(I11,68:68,69:69)-LOOKUP(C11,68:68,69:69)+100</f>
        <v>#N/A</v>
      </c>
      <c r="K11" s="580"/>
      <c r="L11" s="2135"/>
      <c r="M11" s="2129"/>
      <c r="N11" s="2129"/>
      <c r="O11" s="2136"/>
      <c r="P11" s="3463"/>
      <c r="Q11" s="1146" t="str">
        <f t="shared" si="6"/>
        <v>容积率</v>
      </c>
      <c r="R11" s="1563" t="s">
        <v>8</v>
      </c>
      <c r="S11" s="1564" t="e">
        <f t="shared" si="0"/>
        <v>#N/A</v>
      </c>
      <c r="T11" s="1563" t="s">
        <v>8</v>
      </c>
      <c r="U11" s="1564" t="e">
        <f t="shared" si="1"/>
        <v>#N/A</v>
      </c>
      <c r="V11" s="1563" t="s">
        <v>8</v>
      </c>
      <c r="W11" s="1564" t="e">
        <f t="shared" si="2"/>
        <v>#N/A</v>
      </c>
      <c r="X11" s="1565"/>
      <c r="Y11" s="3420"/>
      <c r="Z11" s="1145" t="str">
        <f t="shared" si="7"/>
        <v>容积率</v>
      </c>
      <c r="AA11" s="1566" t="e">
        <f t="shared" si="3"/>
        <v>#N/A</v>
      </c>
      <c r="AB11" s="1566" t="e">
        <f t="shared" si="4"/>
        <v>#N/A</v>
      </c>
      <c r="AC11" s="1566" t="e">
        <f t="shared" si="5"/>
        <v>#N/A</v>
      </c>
    </row>
    <row r="12" spans="1:29" s="1215" customFormat="1" ht="15">
      <c r="A12" s="2938"/>
      <c r="B12" s="2944">
        <v>111</v>
      </c>
      <c r="C12" s="526"/>
      <c r="D12" s="534">
        <v>100</v>
      </c>
      <c r="E12" s="535"/>
      <c r="F12" s="250">
        <f>SUMIF(70:70,E12,71:71)-SUMIF(70:70,C12,71:71)+100</f>
        <v>100</v>
      </c>
      <c r="G12" s="907"/>
      <c r="H12" s="250">
        <f>SUMIF(70:70,G12,71:71)-SUMIF(70:70,C12,71:71)+100</f>
        <v>100</v>
      </c>
      <c r="I12" s="535"/>
      <c r="J12" s="250">
        <f>SUMIF(70:70,I12,71:71)-SUMIF(70:70,C12,71:71)+100</f>
        <v>100</v>
      </c>
      <c r="K12" s="577"/>
      <c r="L12" s="2130"/>
      <c r="M12" s="2131"/>
      <c r="N12" s="2131"/>
      <c r="O12" s="2132"/>
      <c r="P12" s="3463"/>
      <c r="Q12" s="1146">
        <f t="shared" si="6"/>
        <v>111</v>
      </c>
      <c r="R12" s="1563" t="s">
        <v>8</v>
      </c>
      <c r="S12" s="1564">
        <f t="shared" si="0"/>
        <v>100</v>
      </c>
      <c r="T12" s="1563" t="s">
        <v>8</v>
      </c>
      <c r="U12" s="1564">
        <f t="shared" si="1"/>
        <v>100</v>
      </c>
      <c r="V12" s="1563" t="s">
        <v>8</v>
      </c>
      <c r="W12" s="1564">
        <f t="shared" si="2"/>
        <v>100</v>
      </c>
      <c r="X12" s="1565"/>
      <c r="Y12" s="3420"/>
      <c r="Z12" s="1145">
        <f t="shared" si="7"/>
        <v>111</v>
      </c>
      <c r="AA12" s="1566">
        <f>D12/F12</f>
        <v>1</v>
      </c>
      <c r="AB12" s="1566">
        <f>D12/H12</f>
        <v>1</v>
      </c>
      <c r="AC12" s="1566">
        <f>D12/J12</f>
        <v>1</v>
      </c>
    </row>
    <row r="13" spans="1:29" ht="15">
      <c r="A13" s="2938"/>
      <c r="B13" s="2944">
        <v>111</v>
      </c>
      <c r="C13" s="535"/>
      <c r="D13" s="536">
        <v>100</v>
      </c>
      <c r="E13" s="535"/>
      <c r="F13" s="250">
        <f>SUMIF(72:72,E13,73:73)-SUMIF(72:72,C13,73:73)+100</f>
        <v>100</v>
      </c>
      <c r="G13" s="907"/>
      <c r="H13" s="536">
        <f>SUMIF(72:72,G13,73:73)-SUMIF(72:72,C13,73:73)+100</f>
        <v>100</v>
      </c>
      <c r="I13" s="535"/>
      <c r="J13" s="536">
        <f>SUMIF(72:72,I13,73:73)-SUMIF(72:72,C13,73:73)+100</f>
        <v>100</v>
      </c>
      <c r="K13" s="577"/>
      <c r="L13" s="2137"/>
      <c r="M13" s="2129"/>
      <c r="N13" s="2129"/>
      <c r="O13" s="2136"/>
      <c r="P13" s="3463"/>
      <c r="Q13" s="1146">
        <f t="shared" si="6"/>
        <v>111</v>
      </c>
      <c r="R13" s="1563" t="s">
        <v>8</v>
      </c>
      <c r="S13" s="1564">
        <f t="shared" si="0"/>
        <v>100</v>
      </c>
      <c r="T13" s="1563" t="s">
        <v>8</v>
      </c>
      <c r="U13" s="1564">
        <f t="shared" si="1"/>
        <v>100</v>
      </c>
      <c r="V13" s="1563" t="s">
        <v>8</v>
      </c>
      <c r="W13" s="1564">
        <f t="shared" si="2"/>
        <v>100</v>
      </c>
      <c r="X13" s="1565"/>
      <c r="Y13" s="3420"/>
      <c r="Z13" s="1145">
        <f t="shared" si="7"/>
        <v>111</v>
      </c>
      <c r="AA13" s="1566">
        <f t="shared" si="3"/>
        <v>1</v>
      </c>
      <c r="AB13" s="1566">
        <f t="shared" si="4"/>
        <v>1</v>
      </c>
      <c r="AC13" s="1566">
        <f t="shared" si="5"/>
        <v>1</v>
      </c>
    </row>
    <row r="14" spans="1:29" ht="15.75" thickBot="1">
      <c r="A14" s="2939"/>
      <c r="B14" s="2945">
        <v>111</v>
      </c>
      <c r="C14" s="541"/>
      <c r="D14" s="542">
        <v>100</v>
      </c>
      <c r="E14" s="541"/>
      <c r="F14" s="542">
        <f>SUMIF(74:74,E14,75:75)-SUMIF(74:74,C14,75:75)+100</f>
        <v>100</v>
      </c>
      <c r="G14" s="907"/>
      <c r="H14" s="542">
        <f>SUMIF(74:74,G14,75:75)-SUMIF(74:74,C14,75:75)+100</f>
        <v>100</v>
      </c>
      <c r="I14" s="535"/>
      <c r="J14" s="542">
        <f>SUMIF(74:74,I14,75:75)-SUMIF(74:74,C14,75:75)+100</f>
        <v>100</v>
      </c>
      <c r="K14" s="577"/>
      <c r="L14" s="2137"/>
      <c r="M14" s="2129"/>
      <c r="N14" s="2129"/>
      <c r="O14" s="2136"/>
      <c r="P14" s="3463"/>
      <c r="Q14" s="1146">
        <f t="shared" si="6"/>
        <v>111</v>
      </c>
      <c r="R14" s="1563" t="s">
        <v>8</v>
      </c>
      <c r="S14" s="1564">
        <f t="shared" si="0"/>
        <v>100</v>
      </c>
      <c r="T14" s="1563" t="s">
        <v>8</v>
      </c>
      <c r="U14" s="1564">
        <f t="shared" si="1"/>
        <v>100</v>
      </c>
      <c r="V14" s="1563" t="s">
        <v>8</v>
      </c>
      <c r="W14" s="1564">
        <f t="shared" si="2"/>
        <v>100</v>
      </c>
      <c r="X14" s="1565"/>
      <c r="Y14" s="3420"/>
      <c r="Z14" s="1145">
        <f t="shared" si="7"/>
        <v>111</v>
      </c>
      <c r="AA14" s="1566">
        <f t="shared" si="3"/>
        <v>1</v>
      </c>
      <c r="AB14" s="1566">
        <f t="shared" si="4"/>
        <v>1</v>
      </c>
      <c r="AC14" s="1566">
        <f t="shared" si="5"/>
        <v>1</v>
      </c>
    </row>
    <row r="15" spans="1:29" ht="85.5">
      <c r="A15" s="2931" t="s">
        <v>2753</v>
      </c>
      <c r="B15" s="165" t="s">
        <v>535</v>
      </c>
      <c r="C15" s="863" t="str">
        <f>估价对象房地状况!C4</f>
        <v>估价对象周边商业氛围成熟度一般，人流量一般，有河东商城等项目，商业繁华度一般</v>
      </c>
      <c r="D15" s="545">
        <v>100</v>
      </c>
      <c r="E15" s="546"/>
      <c r="F15" s="547">
        <f>SUMIF(76:76,E16,77:77)-SUMIF(76:76,C16,77:77)+100</f>
        <v>100</v>
      </c>
      <c r="G15" s="548"/>
      <c r="H15" s="545">
        <f>SUMIF(76:76,G16,77:77)-SUMIF(76:76,C16,77:77)+100</f>
        <v>100</v>
      </c>
      <c r="I15" s="546"/>
      <c r="J15" s="545">
        <f>SUMIF(76:76,I16,77:77)-SUMIF(76:76,C16,77:77)+100</f>
        <v>100</v>
      </c>
      <c r="K15" s="893"/>
      <c r="L15" s="2137"/>
      <c r="M15" s="2129"/>
      <c r="N15" s="2129"/>
      <c r="O15" s="2136"/>
      <c r="P15" s="3465" t="s">
        <v>534</v>
      </c>
      <c r="Q15" s="1567" t="str">
        <f t="shared" si="6"/>
        <v>商业繁华度</v>
      </c>
      <c r="R15" s="1568" t="s">
        <v>8</v>
      </c>
      <c r="S15" s="1569">
        <f t="shared" si="0"/>
        <v>100</v>
      </c>
      <c r="T15" s="1568" t="s">
        <v>8</v>
      </c>
      <c r="U15" s="1569">
        <f t="shared" si="1"/>
        <v>100</v>
      </c>
      <c r="V15" s="1568" t="s">
        <v>8</v>
      </c>
      <c r="W15" s="1569">
        <f t="shared" si="2"/>
        <v>100</v>
      </c>
      <c r="X15" s="1562"/>
      <c r="Y15" s="3465" t="s">
        <v>534</v>
      </c>
      <c r="Z15" s="1570" t="str">
        <f t="shared" si="7"/>
        <v>商业繁华度</v>
      </c>
      <c r="AA15" s="1571">
        <f t="shared" si="3"/>
        <v>1</v>
      </c>
      <c r="AB15" s="1571">
        <f t="shared" si="4"/>
        <v>1</v>
      </c>
      <c r="AC15" s="1571">
        <f t="shared" si="5"/>
        <v>1</v>
      </c>
    </row>
    <row r="16" spans="1:29" ht="15">
      <c r="A16" s="528"/>
      <c r="B16" s="865"/>
      <c r="C16" s="572"/>
      <c r="D16" s="551"/>
      <c r="E16" s="572"/>
      <c r="F16" s="553"/>
      <c r="G16" s="572"/>
      <c r="H16" s="555"/>
      <c r="I16" s="572"/>
      <c r="J16" s="551"/>
      <c r="K16" s="894"/>
      <c r="L16" s="2137"/>
      <c r="M16" s="2129"/>
      <c r="N16" s="2129"/>
      <c r="O16" s="2136"/>
      <c r="P16" s="3466"/>
      <c r="Q16" s="1567"/>
      <c r="R16" s="1568"/>
      <c r="S16" s="1569"/>
      <c r="T16" s="1568"/>
      <c r="U16" s="1569"/>
      <c r="V16" s="1568"/>
      <c r="W16" s="1569"/>
      <c r="X16" s="1562"/>
      <c r="Y16" s="3466"/>
      <c r="Z16" s="1570"/>
      <c r="AA16" s="1571">
        <v>1</v>
      </c>
      <c r="AB16" s="1571">
        <v>1</v>
      </c>
      <c r="AC16" s="1571">
        <v>1</v>
      </c>
    </row>
    <row r="17" spans="1:29" ht="128.25">
      <c r="A17" s="528"/>
      <c r="B17" s="867" t="s">
        <v>289</v>
      </c>
      <c r="C17" s="868" t="str">
        <f>估价对象房地状况!C6</f>
        <v>估价对象周边1公里有92、840路等公交车及地铁1、9号线经过，公共交通通达情况较好、停车便捷程度较好，综合评价交通便捷度较好</v>
      </c>
      <c r="D17" s="555">
        <v>100</v>
      </c>
      <c r="E17" s="558"/>
      <c r="F17" s="559">
        <f>SUMIF(78:78,E18,79:79)-SUMIF(78:78,C18,79:79)+100</f>
        <v>100</v>
      </c>
      <c r="G17" s="560"/>
      <c r="H17" s="561">
        <f>SUMIF(78:78,G18,79:79)-SUMIF(78:78,C18,79:79)+100</f>
        <v>100</v>
      </c>
      <c r="I17" s="558"/>
      <c r="J17" s="561">
        <f>SUMIF(78:78,I18,79:79)-SUMIF(78:78,C18,79:79)+100</f>
        <v>100</v>
      </c>
      <c r="K17" s="893"/>
      <c r="L17" s="2137"/>
      <c r="M17" s="2129"/>
      <c r="N17" s="2129"/>
      <c r="O17" s="2136"/>
      <c r="P17" s="3466"/>
      <c r="Q17" s="1567" t="str">
        <f>B17</f>
        <v>交通便捷度</v>
      </c>
      <c r="R17" s="1568" t="s">
        <v>8</v>
      </c>
      <c r="S17" s="1569">
        <f>F17</f>
        <v>100</v>
      </c>
      <c r="T17" s="1568" t="s">
        <v>8</v>
      </c>
      <c r="U17" s="1569">
        <f>H17</f>
        <v>100</v>
      </c>
      <c r="V17" s="1568" t="s">
        <v>8</v>
      </c>
      <c r="W17" s="1569">
        <f>J17</f>
        <v>100</v>
      </c>
      <c r="X17" s="1562"/>
      <c r="Y17" s="3466"/>
      <c r="Z17" s="1570" t="str">
        <f>Q17</f>
        <v>交通便捷度</v>
      </c>
      <c r="AA17" s="1571">
        <f t="shared" si="3"/>
        <v>1</v>
      </c>
      <c r="AB17" s="1571">
        <f t="shared" si="4"/>
        <v>1</v>
      </c>
      <c r="AC17" s="1571">
        <f t="shared" si="5"/>
        <v>1</v>
      </c>
    </row>
    <row r="18" spans="1:29" ht="15">
      <c r="A18" s="528"/>
      <c r="B18" s="591"/>
      <c r="C18" s="869"/>
      <c r="D18" s="555"/>
      <c r="E18" s="564"/>
      <c r="F18" s="559"/>
      <c r="G18" s="565"/>
      <c r="H18" s="551"/>
      <c r="I18" s="564"/>
      <c r="J18" s="551"/>
      <c r="K18" s="894"/>
      <c r="L18" s="2137"/>
      <c r="M18" s="2129"/>
      <c r="N18" s="2129"/>
      <c r="O18" s="2136"/>
      <c r="P18" s="3466"/>
      <c r="Q18" s="1567"/>
      <c r="R18" s="1568"/>
      <c r="S18" s="1569"/>
      <c r="T18" s="1568"/>
      <c r="U18" s="1569"/>
      <c r="V18" s="1568"/>
      <c r="W18" s="1569"/>
      <c r="X18" s="1562"/>
      <c r="Y18" s="3466"/>
      <c r="Z18" s="1570"/>
      <c r="AA18" s="1571">
        <v>1</v>
      </c>
      <c r="AB18" s="1571">
        <v>1</v>
      </c>
      <c r="AC18" s="1571">
        <v>1</v>
      </c>
    </row>
    <row r="19" spans="1:29" ht="42.75">
      <c r="A19" s="528"/>
      <c r="B19" s="2619" t="s">
        <v>2543</v>
      </c>
      <c r="C19" s="868" t="str">
        <f>估价对象房地状况!C7</f>
        <v>估价对象所在区域公共配套设施齐备情况一般</v>
      </c>
      <c r="D19" s="561">
        <v>100</v>
      </c>
      <c r="E19" s="566"/>
      <c r="F19" s="567">
        <f>SUMIF(80:80,E20,81:81)-SUMIF(80:80,C20,81:81)+100</f>
        <v>100</v>
      </c>
      <c r="G19" s="568"/>
      <c r="H19" s="555">
        <f>SUMIF(80:80,G20,81:81)-SUMIF(80:80,C20,81:81)+100</f>
        <v>100</v>
      </c>
      <c r="I19" s="566"/>
      <c r="J19" s="555">
        <f>SUMIF(80:80,I20,81:81)-SUMIF(80:80,C20,81:81)+100</f>
        <v>100</v>
      </c>
      <c r="K19" s="893"/>
      <c r="L19" s="2137"/>
      <c r="M19" s="2129"/>
      <c r="N19" s="2129"/>
      <c r="O19" s="2136"/>
      <c r="P19" s="3466"/>
      <c r="Q19" s="1567" t="str">
        <f>B19</f>
        <v>公共配套设施</v>
      </c>
      <c r="R19" s="1568" t="s">
        <v>8</v>
      </c>
      <c r="S19" s="1569">
        <f>F19</f>
        <v>100</v>
      </c>
      <c r="T19" s="1568" t="s">
        <v>8</v>
      </c>
      <c r="U19" s="1569">
        <f>H19</f>
        <v>100</v>
      </c>
      <c r="V19" s="1568" t="s">
        <v>8</v>
      </c>
      <c r="W19" s="1569">
        <f>J19</f>
        <v>100</v>
      </c>
      <c r="X19" s="1562"/>
      <c r="Y19" s="3466"/>
      <c r="Z19" s="1570" t="str">
        <f>Q19</f>
        <v>公共配套设施</v>
      </c>
      <c r="AA19" s="1571">
        <f t="shared" si="3"/>
        <v>1</v>
      </c>
      <c r="AB19" s="1571">
        <f t="shared" si="4"/>
        <v>1</v>
      </c>
      <c r="AC19" s="1571">
        <f t="shared" si="5"/>
        <v>1</v>
      </c>
    </row>
    <row r="20" spans="1:29" ht="15">
      <c r="A20" s="528"/>
      <c r="B20" s="591"/>
      <c r="C20" s="572"/>
      <c r="D20" s="551"/>
      <c r="E20" s="552"/>
      <c r="F20" s="553"/>
      <c r="G20" s="554"/>
      <c r="H20" s="551"/>
      <c r="I20" s="552"/>
      <c r="J20" s="551"/>
      <c r="K20" s="894"/>
      <c r="L20" s="2137"/>
      <c r="M20" s="2129"/>
      <c r="N20" s="2129"/>
      <c r="O20" s="2136"/>
      <c r="P20" s="3466"/>
      <c r="Q20" s="1567"/>
      <c r="R20" s="1568"/>
      <c r="S20" s="1569"/>
      <c r="T20" s="1568"/>
      <c r="U20" s="1569"/>
      <c r="V20" s="1568"/>
      <c r="W20" s="1569"/>
      <c r="X20" s="1562"/>
      <c r="Y20" s="3466"/>
      <c r="Z20" s="1570"/>
      <c r="AA20" s="1571">
        <v>1</v>
      </c>
      <c r="AB20" s="1571">
        <v>1</v>
      </c>
      <c r="AC20" s="1571">
        <v>1</v>
      </c>
    </row>
    <row r="21" spans="1:29" ht="42.75">
      <c r="A21" s="528"/>
      <c r="B21" s="2612" t="s">
        <v>2555</v>
      </c>
      <c r="C21" s="868" t="str">
        <f>估价对象房地状况!C8</f>
        <v>估价对象所在区域基础设施水平-六通</v>
      </c>
      <c r="D21" s="561">
        <v>100</v>
      </c>
      <c r="E21" s="568"/>
      <c r="F21" s="567">
        <f>SUMIF(82:82,E22,83:83)-SUMIF(82:82,C22,83:83)+100</f>
        <v>100</v>
      </c>
      <c r="G21" s="568"/>
      <c r="H21" s="561">
        <f>SUMIF(82:82,G22,83:83)-SUMIF(82:82,C22,83:83)+100</f>
        <v>100</v>
      </c>
      <c r="I21" s="566"/>
      <c r="J21" s="561">
        <f>SUMIF(82:82,I22,83:83)-SUMIF(82:82,C22,83:83)+100</f>
        <v>100</v>
      </c>
      <c r="K21" s="893"/>
      <c r="L21" s="2137"/>
      <c r="M21" s="2129"/>
      <c r="N21" s="2129"/>
      <c r="O21" s="2136"/>
      <c r="P21" s="3466"/>
      <c r="Q21" s="2598" t="str">
        <f>B21</f>
        <v>基础设施水平</v>
      </c>
      <c r="R21" s="1568" t="s">
        <v>8</v>
      </c>
      <c r="S21" s="1569">
        <f>F21</f>
        <v>100</v>
      </c>
      <c r="T21" s="1568" t="s">
        <v>8</v>
      </c>
      <c r="U21" s="1569">
        <f>H21</f>
        <v>100</v>
      </c>
      <c r="V21" s="1568" t="s">
        <v>8</v>
      </c>
      <c r="W21" s="1569">
        <f>J21</f>
        <v>100</v>
      </c>
      <c r="X21" s="2600"/>
      <c r="Y21" s="3466"/>
      <c r="Z21" s="2599" t="str">
        <f>Q21</f>
        <v>基础设施水平</v>
      </c>
      <c r="AA21" s="1571">
        <f t="shared" ref="AA21" si="8">D21/F21</f>
        <v>1</v>
      </c>
      <c r="AB21" s="1571">
        <f t="shared" ref="AB21" si="9">D21/H21</f>
        <v>1</v>
      </c>
      <c r="AC21" s="1571">
        <f t="shared" ref="AC21" si="10">D21/J21</f>
        <v>1</v>
      </c>
    </row>
    <row r="22" spans="1:29" ht="15">
      <c r="A22" s="528"/>
      <c r="B22" s="917"/>
      <c r="C22" s="869"/>
      <c r="D22" s="551"/>
      <c r="E22" s="572"/>
      <c r="F22" s="553"/>
      <c r="G22" s="572"/>
      <c r="H22" s="551"/>
      <c r="I22" s="572"/>
      <c r="J22" s="551"/>
      <c r="K22" s="2621"/>
      <c r="L22" s="2137"/>
      <c r="M22" s="2129"/>
      <c r="N22" s="2129"/>
      <c r="O22" s="2136"/>
      <c r="P22" s="3466"/>
      <c r="Q22" s="2598"/>
      <c r="R22" s="1568"/>
      <c r="S22" s="1569"/>
      <c r="T22" s="1568"/>
      <c r="U22" s="1569"/>
      <c r="V22" s="1568"/>
      <c r="W22" s="1569"/>
      <c r="X22" s="2600"/>
      <c r="Y22" s="3466"/>
      <c r="Z22" s="2599"/>
      <c r="AA22" s="1571">
        <v>1</v>
      </c>
      <c r="AB22" s="1571">
        <v>1</v>
      </c>
      <c r="AC22" s="1571">
        <v>1</v>
      </c>
    </row>
    <row r="23" spans="1:29" ht="28.5">
      <c r="A23" s="528"/>
      <c r="B23" s="867" t="s">
        <v>290</v>
      </c>
      <c r="C23" s="895" t="str">
        <f>估价对象房地状况!C9</f>
        <v>周边2公里内区域自然环境较好</v>
      </c>
      <c r="D23" s="555">
        <v>100</v>
      </c>
      <c r="E23" s="558"/>
      <c r="F23" s="559">
        <f>SUMIF(84:84,E24,85:85)-SUMIF(84:84,C24,85:85)+100</f>
        <v>100</v>
      </c>
      <c r="G23" s="560"/>
      <c r="H23" s="555">
        <f>SUMIF(84:84,G24,85:85)-SUMIF(84:84,C24,85:85)+100</f>
        <v>100</v>
      </c>
      <c r="I23" s="558"/>
      <c r="J23" s="555">
        <f>SUMIF(84:84,I24,85:85)-SUMIF(84:84,C24,85:85)+100</f>
        <v>100</v>
      </c>
      <c r="K23" s="893"/>
      <c r="L23" s="2137"/>
      <c r="M23" s="2129"/>
      <c r="N23" s="2129"/>
      <c r="O23" s="2136"/>
      <c r="P23" s="3466"/>
      <c r="Q23" s="1567" t="str">
        <f>B23</f>
        <v>自然及人文环境</v>
      </c>
      <c r="R23" s="1568" t="s">
        <v>8</v>
      </c>
      <c r="S23" s="1569">
        <f>F23</f>
        <v>100</v>
      </c>
      <c r="T23" s="1568" t="s">
        <v>8</v>
      </c>
      <c r="U23" s="1569">
        <f>H23</f>
        <v>100</v>
      </c>
      <c r="V23" s="1568" t="s">
        <v>8</v>
      </c>
      <c r="W23" s="1569">
        <f>J23</f>
        <v>100</v>
      </c>
      <c r="X23" s="1562"/>
      <c r="Y23" s="3466"/>
      <c r="Z23" s="1570" t="str">
        <f>Q23</f>
        <v>自然及人文环境</v>
      </c>
      <c r="AA23" s="1571">
        <f t="shared" si="3"/>
        <v>1</v>
      </c>
      <c r="AB23" s="1571">
        <f t="shared" si="4"/>
        <v>1</v>
      </c>
      <c r="AC23" s="1571">
        <f t="shared" si="5"/>
        <v>1</v>
      </c>
    </row>
    <row r="24" spans="1:29" ht="15">
      <c r="A24" s="528"/>
      <c r="B24" s="591"/>
      <c r="C24" s="572"/>
      <c r="D24" s="551"/>
      <c r="E24" s="552"/>
      <c r="F24" s="553"/>
      <c r="G24" s="554"/>
      <c r="H24" s="551"/>
      <c r="I24" s="552"/>
      <c r="J24" s="551"/>
      <c r="K24" s="894"/>
      <c r="L24" s="2137"/>
      <c r="M24" s="2129"/>
      <c r="N24" s="2129"/>
      <c r="O24" s="2136"/>
      <c r="P24" s="3466"/>
      <c r="Q24" s="1567"/>
      <c r="R24" s="1568"/>
      <c r="S24" s="1569"/>
      <c r="T24" s="1568"/>
      <c r="U24" s="1569"/>
      <c r="V24" s="1568"/>
      <c r="W24" s="1569"/>
      <c r="X24" s="1562"/>
      <c r="Y24" s="3466"/>
      <c r="Z24" s="1570"/>
      <c r="AA24" s="1571">
        <v>1</v>
      </c>
      <c r="AB24" s="1571">
        <v>1</v>
      </c>
      <c r="AC24" s="1571">
        <v>1</v>
      </c>
    </row>
    <row r="25" spans="1:29" ht="15">
      <c r="A25" s="528"/>
      <c r="B25" s="525" t="s">
        <v>541</v>
      </c>
      <c r="C25" s="579"/>
      <c r="D25" s="536">
        <v>100</v>
      </c>
      <c r="E25" s="579"/>
      <c r="F25" s="571">
        <f>SUMIF(86:86,E25,87:87)-SUMIF(86:86,C25,87:87)+100</f>
        <v>100</v>
      </c>
      <c r="G25" s="579"/>
      <c r="H25" s="536">
        <f>SUMIF(86:86,G25,87:87)-SUMIF(86:86,C25,87:87)+100</f>
        <v>100</v>
      </c>
      <c r="I25" s="579"/>
      <c r="J25" s="536">
        <f>SUMIF(86:86,I25,87:87)-SUMIF(86:86,C25,87:87)+100</f>
        <v>100</v>
      </c>
      <c r="K25" s="580"/>
      <c r="L25" s="2137"/>
      <c r="M25" s="2129"/>
      <c r="N25" s="2129"/>
      <c r="O25" s="2136"/>
      <c r="P25" s="3466"/>
      <c r="Q25" s="1567" t="str">
        <f t="shared" ref="Q25:Q46" si="11">B25</f>
        <v>临街状况</v>
      </c>
      <c r="R25" s="1568" t="s">
        <v>8</v>
      </c>
      <c r="S25" s="1569">
        <f>F25</f>
        <v>100</v>
      </c>
      <c r="T25" s="1568" t="s">
        <v>8</v>
      </c>
      <c r="U25" s="1569">
        <f>H25</f>
        <v>100</v>
      </c>
      <c r="V25" s="1568" t="s">
        <v>8</v>
      </c>
      <c r="W25" s="1569">
        <f>J25</f>
        <v>100</v>
      </c>
      <c r="X25" s="1562"/>
      <c r="Y25" s="3466"/>
      <c r="Z25" s="1570" t="str">
        <f>Q25</f>
        <v>临街状况</v>
      </c>
      <c r="AA25" s="1571">
        <f t="shared" si="3"/>
        <v>1</v>
      </c>
      <c r="AB25" s="1571">
        <f t="shared" si="4"/>
        <v>1</v>
      </c>
      <c r="AC25" s="1571">
        <f t="shared" si="5"/>
        <v>1</v>
      </c>
    </row>
    <row r="26" spans="1:29" ht="15">
      <c r="A26" s="528"/>
      <c r="B26" s="873" t="s">
        <v>751</v>
      </c>
      <c r="C26" s="535"/>
      <c r="D26" s="536">
        <v>100</v>
      </c>
      <c r="E26" s="535"/>
      <c r="F26" s="571">
        <f>SUMIF(88:88,E26,89:89)-SUMIF(88:88,C26,89:89)+100</f>
        <v>100</v>
      </c>
      <c r="G26" s="535"/>
      <c r="H26" s="536">
        <f>SUMIF(88:88,G26,89:89)-SUMIF(88:88,C26,89:89)+100</f>
        <v>100</v>
      </c>
      <c r="I26" s="535"/>
      <c r="J26" s="536">
        <f>SUMIF(88:88,I26,89:89)-SUMIF(88:88,C26,89:89)+100</f>
        <v>100</v>
      </c>
      <c r="K26" s="577"/>
      <c r="L26" s="2137"/>
      <c r="M26" s="2129"/>
      <c r="N26" s="2129"/>
      <c r="O26" s="2136"/>
      <c r="P26" s="3466"/>
      <c r="Q26" s="1567" t="str">
        <f t="shared" si="11"/>
        <v>平面位置/可视性</v>
      </c>
      <c r="R26" s="1568" t="s">
        <v>8</v>
      </c>
      <c r="S26" s="1569">
        <f>F26</f>
        <v>100</v>
      </c>
      <c r="T26" s="1568" t="s">
        <v>8</v>
      </c>
      <c r="U26" s="1569">
        <f>H26</f>
        <v>100</v>
      </c>
      <c r="V26" s="1568" t="s">
        <v>8</v>
      </c>
      <c r="W26" s="1569">
        <f>J26</f>
        <v>100</v>
      </c>
      <c r="X26" s="1562"/>
      <c r="Y26" s="3466"/>
      <c r="Z26" s="1570" t="str">
        <f>Q26</f>
        <v>平面位置/可视性</v>
      </c>
      <c r="AA26" s="1571">
        <f t="shared" si="3"/>
        <v>1</v>
      </c>
      <c r="AB26" s="1571">
        <f t="shared" si="4"/>
        <v>1</v>
      </c>
      <c r="AC26" s="1571">
        <f t="shared" si="5"/>
        <v>1</v>
      </c>
    </row>
    <row r="27" spans="1:29" s="1215" customFormat="1" ht="15">
      <c r="A27" s="532"/>
      <c r="B27" s="867" t="s">
        <v>752</v>
      </c>
      <c r="C27" s="896"/>
      <c r="D27" s="871">
        <v>100</v>
      </c>
      <c r="E27" s="896"/>
      <c r="F27" s="872">
        <f>SUMIF(90:90,E27,91:91)-SUMIF(90:90,C27,91:91)+100</f>
        <v>100</v>
      </c>
      <c r="G27" s="896"/>
      <c r="H27" s="871">
        <f>SUMIF(90:90,G27,91:91)-SUMIF(90:90,C27,91:91)+100</f>
        <v>100</v>
      </c>
      <c r="I27" s="896"/>
      <c r="J27" s="871">
        <f>SUMIF(90:90,I27,91:91)-SUMIF(90:90,C27,91:91)+100</f>
        <v>100</v>
      </c>
      <c r="K27" s="580"/>
      <c r="L27" s="2130"/>
      <c r="M27" s="2131"/>
      <c r="N27" s="2131"/>
      <c r="O27" s="2132"/>
      <c r="P27" s="3466"/>
      <c r="Q27" s="1146" t="str">
        <f t="shared" si="11"/>
        <v>人流量</v>
      </c>
      <c r="R27" s="1563" t="s">
        <v>8</v>
      </c>
      <c r="S27" s="1564">
        <f>F27</f>
        <v>100</v>
      </c>
      <c r="T27" s="1563" t="s">
        <v>8</v>
      </c>
      <c r="U27" s="1564">
        <f>H27</f>
        <v>100</v>
      </c>
      <c r="V27" s="1563" t="s">
        <v>8</v>
      </c>
      <c r="W27" s="1564">
        <f>J27</f>
        <v>100</v>
      </c>
      <c r="X27" s="1565"/>
      <c r="Y27" s="3466"/>
      <c r="Z27" s="1145" t="str">
        <f>Q27</f>
        <v>人流量</v>
      </c>
      <c r="AA27" s="1571">
        <f>D27/F27</f>
        <v>1</v>
      </c>
      <c r="AB27" s="1571">
        <f>D27/H27</f>
        <v>1</v>
      </c>
      <c r="AC27" s="1571">
        <f>D27/J27</f>
        <v>1</v>
      </c>
    </row>
    <row r="28" spans="1:29" ht="15">
      <c r="A28" s="528"/>
      <c r="B28" s="525" t="s">
        <v>754</v>
      </c>
      <c r="C28" s="579"/>
      <c r="D28" s="536">
        <v>100</v>
      </c>
      <c r="E28" s="579"/>
      <c r="F28" s="571">
        <f>SUMIF(92:92,E28,93:93)-SUMIF(92:92,C28,93:93)+100</f>
        <v>100</v>
      </c>
      <c r="G28" s="579"/>
      <c r="H28" s="536">
        <f>SUMIF(92:92,G28,93:93)-SUMIF(92:92,C28,93:93)+100</f>
        <v>100</v>
      </c>
      <c r="I28" s="579"/>
      <c r="J28" s="536">
        <f>SUMIF(92:92,I28,93:93)-SUMIF(92:92,C28,93:93)+100</f>
        <v>100</v>
      </c>
      <c r="K28" s="577"/>
      <c r="L28" s="2137"/>
      <c r="M28" s="2129"/>
      <c r="N28" s="2129"/>
      <c r="O28" s="2136"/>
      <c r="P28" s="3466"/>
      <c r="Q28" s="1567" t="str">
        <f t="shared" si="11"/>
        <v>楼层</v>
      </c>
      <c r="R28" s="1568" t="s">
        <v>8</v>
      </c>
      <c r="S28" s="1569">
        <f t="shared" ref="S28:S46" si="12">F28</f>
        <v>100</v>
      </c>
      <c r="T28" s="1568" t="s">
        <v>8</v>
      </c>
      <c r="U28" s="1569">
        <f t="shared" ref="U28:U46" si="13">H28</f>
        <v>100</v>
      </c>
      <c r="V28" s="1568" t="s">
        <v>8</v>
      </c>
      <c r="W28" s="1569">
        <f t="shared" ref="W28:W46" si="14">J28</f>
        <v>100</v>
      </c>
      <c r="X28" s="1562"/>
      <c r="Y28" s="3466"/>
      <c r="Z28" s="1570" t="str">
        <f t="shared" ref="Z28:Z46" si="15">Q28</f>
        <v>楼层</v>
      </c>
      <c r="AA28" s="1571">
        <f t="shared" si="3"/>
        <v>1</v>
      </c>
      <c r="AB28" s="1571">
        <f t="shared" si="4"/>
        <v>1</v>
      </c>
      <c r="AC28" s="1571">
        <f t="shared" si="5"/>
        <v>1</v>
      </c>
    </row>
    <row r="29" spans="1:29" ht="15">
      <c r="A29" s="528"/>
      <c r="B29" s="873">
        <v>111</v>
      </c>
      <c r="C29" s="535"/>
      <c r="D29" s="536">
        <v>100</v>
      </c>
      <c r="E29" s="535"/>
      <c r="F29" s="571">
        <f>SUMIF(94:94,E29,95:95)-SUMIF(94:94,C29,95:95)+100</f>
        <v>100</v>
      </c>
      <c r="G29" s="535"/>
      <c r="H29" s="536">
        <f>SUMIF(94:94,G29,95:95)-SUMIF(94:94,C29,95:95)+100</f>
        <v>100</v>
      </c>
      <c r="I29" s="535"/>
      <c r="J29" s="536">
        <f>SUMIF(94:94,I29,95:95)-SUMIF(94:94,C29,95:95)+100</f>
        <v>100</v>
      </c>
      <c r="K29" s="577"/>
      <c r="L29" s="2137"/>
      <c r="M29" s="2129"/>
      <c r="N29" s="2129"/>
      <c r="O29" s="2136"/>
      <c r="P29" s="3466"/>
      <c r="Q29" s="1567">
        <f t="shared" si="11"/>
        <v>111</v>
      </c>
      <c r="R29" s="1568" t="s">
        <v>8</v>
      </c>
      <c r="S29" s="1569">
        <f t="shared" si="12"/>
        <v>100</v>
      </c>
      <c r="T29" s="1568" t="s">
        <v>8</v>
      </c>
      <c r="U29" s="1569">
        <f t="shared" si="13"/>
        <v>100</v>
      </c>
      <c r="V29" s="1568" t="s">
        <v>8</v>
      </c>
      <c r="W29" s="1569">
        <f t="shared" si="14"/>
        <v>100</v>
      </c>
      <c r="X29" s="1562"/>
      <c r="Y29" s="3466"/>
      <c r="Z29" s="1570">
        <f t="shared" si="15"/>
        <v>111</v>
      </c>
      <c r="AA29" s="1571">
        <f t="shared" si="3"/>
        <v>1</v>
      </c>
      <c r="AB29" s="1571">
        <f t="shared" si="4"/>
        <v>1</v>
      </c>
      <c r="AC29" s="1571">
        <f t="shared" si="5"/>
        <v>1</v>
      </c>
    </row>
    <row r="30" spans="1:29" ht="15">
      <c r="A30" s="528"/>
      <c r="B30" s="873">
        <v>111</v>
      </c>
      <c r="C30" s="535"/>
      <c r="D30" s="536">
        <v>100</v>
      </c>
      <c r="E30" s="535"/>
      <c r="F30" s="571">
        <f>SUMIF(96:96,E30,97:97)-SUMIF(96:96,C30,97:97)+100</f>
        <v>100</v>
      </c>
      <c r="G30" s="535"/>
      <c r="H30" s="536">
        <f>SUMIF(96:96,G30,97:97)-SUMIF(96:96,C30,97:97)+100</f>
        <v>100</v>
      </c>
      <c r="I30" s="535"/>
      <c r="J30" s="536">
        <f>SUMIF(96:96,I30,97:97)-SUMIF(96:96,C30,97:97)+100</f>
        <v>100</v>
      </c>
      <c r="K30" s="577"/>
      <c r="L30" s="2137"/>
      <c r="M30" s="2129"/>
      <c r="N30" s="2129"/>
      <c r="O30" s="2136"/>
      <c r="P30" s="3466"/>
      <c r="Q30" s="1567">
        <f t="shared" si="11"/>
        <v>111</v>
      </c>
      <c r="R30" s="1568" t="s">
        <v>8</v>
      </c>
      <c r="S30" s="1569">
        <f t="shared" si="12"/>
        <v>100</v>
      </c>
      <c r="T30" s="1568" t="s">
        <v>8</v>
      </c>
      <c r="U30" s="1569">
        <f t="shared" si="13"/>
        <v>100</v>
      </c>
      <c r="V30" s="1568" t="s">
        <v>8</v>
      </c>
      <c r="W30" s="1569">
        <f t="shared" si="14"/>
        <v>100</v>
      </c>
      <c r="X30" s="1562"/>
      <c r="Y30" s="3466"/>
      <c r="Z30" s="1570">
        <f t="shared" si="15"/>
        <v>111</v>
      </c>
      <c r="AA30" s="1571">
        <f t="shared" si="3"/>
        <v>1</v>
      </c>
      <c r="AB30" s="1571">
        <f t="shared" si="4"/>
        <v>1</v>
      </c>
      <c r="AC30" s="1571">
        <f t="shared" si="5"/>
        <v>1</v>
      </c>
    </row>
    <row r="31" spans="1:29" ht="15.75" thickBot="1">
      <c r="A31" s="539"/>
      <c r="B31" s="873">
        <v>111</v>
      </c>
      <c r="C31" s="541"/>
      <c r="D31" s="542">
        <v>100</v>
      </c>
      <c r="E31" s="535"/>
      <c r="F31" s="862">
        <f>SUMIF(98:98,E31,99:99)-SUMIF(98:98,C31,99:99)+100</f>
        <v>100</v>
      </c>
      <c r="G31" s="535"/>
      <c r="H31" s="542">
        <f>SUMIF(98:98,G31,99:99)-SUMIF(98:98,C31,99:99)+100</f>
        <v>100</v>
      </c>
      <c r="I31" s="535"/>
      <c r="J31" s="542">
        <f>SUMIF(98:98,I31,99:99)-SUMIF(98:98,C31,99:99)+100</f>
        <v>100</v>
      </c>
      <c r="K31" s="577"/>
      <c r="L31" s="2137"/>
      <c r="M31" s="2129"/>
      <c r="N31" s="2129"/>
      <c r="O31" s="2136"/>
      <c r="P31" s="3466"/>
      <c r="Q31" s="1567">
        <f t="shared" si="11"/>
        <v>111</v>
      </c>
      <c r="R31" s="1568" t="s">
        <v>8</v>
      </c>
      <c r="S31" s="1569">
        <f t="shared" si="12"/>
        <v>100</v>
      </c>
      <c r="T31" s="1568" t="s">
        <v>8</v>
      </c>
      <c r="U31" s="1569">
        <f t="shared" si="13"/>
        <v>100</v>
      </c>
      <c r="V31" s="1568" t="s">
        <v>8</v>
      </c>
      <c r="W31" s="1569">
        <f t="shared" si="14"/>
        <v>100</v>
      </c>
      <c r="X31" s="1562"/>
      <c r="Y31" s="3466"/>
      <c r="Z31" s="1570">
        <f t="shared" si="15"/>
        <v>111</v>
      </c>
      <c r="AA31" s="1571">
        <f t="shared" si="3"/>
        <v>1</v>
      </c>
      <c r="AB31" s="1571">
        <f t="shared" si="4"/>
        <v>1</v>
      </c>
      <c r="AC31" s="1571">
        <f t="shared" si="5"/>
        <v>1</v>
      </c>
    </row>
    <row r="32" spans="1:29" ht="15">
      <c r="A32" s="2928" t="s">
        <v>2754</v>
      </c>
      <c r="B32" s="171" t="s">
        <v>755</v>
      </c>
      <c r="C32" s="874"/>
      <c r="D32" s="593">
        <v>100</v>
      </c>
      <c r="E32" s="874"/>
      <c r="F32" s="571">
        <f>SUMIF(100:100,E32,101:101)-SUMIF(100:100,C32,101:101)+100</f>
        <v>100</v>
      </c>
      <c r="G32" s="874"/>
      <c r="H32" s="536">
        <f>SUMIF(100:100,G32,101:101)-SUMIF(100:100,C32,101:101)+100</f>
        <v>100</v>
      </c>
      <c r="I32" s="874"/>
      <c r="J32" s="593">
        <f>SUMIF(100:100,I32,101:101)-SUMIF(100:100,C32,101:101)+100</f>
        <v>100</v>
      </c>
      <c r="K32" s="580"/>
      <c r="L32" s="2137"/>
      <c r="M32" s="2129"/>
      <c r="N32" s="2129"/>
      <c r="O32" s="2136"/>
      <c r="P32" s="3467" t="s">
        <v>544</v>
      </c>
      <c r="Q32" s="1567" t="str">
        <f t="shared" si="11"/>
        <v>商业类型</v>
      </c>
      <c r="R32" s="1568" t="s">
        <v>8</v>
      </c>
      <c r="S32" s="1569">
        <f t="shared" si="12"/>
        <v>100</v>
      </c>
      <c r="T32" s="1568" t="s">
        <v>8</v>
      </c>
      <c r="U32" s="1569">
        <f t="shared" si="13"/>
        <v>100</v>
      </c>
      <c r="V32" s="1568" t="s">
        <v>8</v>
      </c>
      <c r="W32" s="1569">
        <f t="shared" si="14"/>
        <v>100</v>
      </c>
      <c r="X32" s="1562"/>
      <c r="Y32" s="3468" t="s">
        <v>544</v>
      </c>
      <c r="Z32" s="1570" t="str">
        <f t="shared" si="15"/>
        <v>商业类型</v>
      </c>
      <c r="AA32" s="1571">
        <f t="shared" si="3"/>
        <v>1</v>
      </c>
      <c r="AB32" s="1571">
        <f t="shared" si="4"/>
        <v>1</v>
      </c>
      <c r="AC32" s="1571">
        <f t="shared" si="5"/>
        <v>1</v>
      </c>
    </row>
    <row r="33" spans="1:29" s="1334" customFormat="1" ht="15">
      <c r="A33" s="599"/>
      <c r="B33" s="525" t="s">
        <v>720</v>
      </c>
      <c r="C33" s="875"/>
      <c r="D33" s="250">
        <v>100</v>
      </c>
      <c r="E33" s="530"/>
      <c r="F33" s="859" t="e">
        <f>LOOKUP(E33,103:103,104:104)-LOOKUP(C33,103:103,104:104)+100</f>
        <v>#N/A</v>
      </c>
      <c r="G33" s="529"/>
      <c r="H33" s="250" t="e">
        <f>LOOKUP(G33,103:103,104:104)-LOOKUP(C33,103:103,104:104)+100</f>
        <v>#N/A</v>
      </c>
      <c r="I33" s="529"/>
      <c r="J33" s="250" t="e">
        <f>LOOKUP(I33,103:103,104:104)-LOOKUP(C33,103:103,104:104)+100</f>
        <v>#N/A</v>
      </c>
      <c r="K33" s="577"/>
      <c r="L33" s="2135"/>
      <c r="M33" s="2166"/>
      <c r="N33" s="2166"/>
      <c r="O33" s="2138"/>
      <c r="P33" s="3468"/>
      <c r="Q33" s="1600" t="str">
        <f t="shared" si="11"/>
        <v>项目建筑规模</v>
      </c>
      <c r="R33" s="1572" t="s">
        <v>8</v>
      </c>
      <c r="S33" s="1573" t="e">
        <f t="shared" si="12"/>
        <v>#N/A</v>
      </c>
      <c r="T33" s="1572" t="s">
        <v>8</v>
      </c>
      <c r="U33" s="1573" t="e">
        <f t="shared" si="13"/>
        <v>#N/A</v>
      </c>
      <c r="V33" s="1572" t="s">
        <v>8</v>
      </c>
      <c r="W33" s="1573" t="e">
        <f t="shared" si="14"/>
        <v>#N/A</v>
      </c>
      <c r="X33" s="1574"/>
      <c r="Y33" s="3468"/>
      <c r="Z33" s="1575" t="str">
        <f t="shared" si="15"/>
        <v>项目建筑规模</v>
      </c>
      <c r="AA33" s="1571" t="e">
        <f t="shared" si="3"/>
        <v>#N/A</v>
      </c>
      <c r="AB33" s="1571" t="e">
        <f t="shared" si="4"/>
        <v>#N/A</v>
      </c>
      <c r="AC33" s="1571" t="e">
        <f t="shared" si="5"/>
        <v>#N/A</v>
      </c>
    </row>
    <row r="34" spans="1:29" ht="15">
      <c r="A34" s="590"/>
      <c r="B34" s="525" t="s">
        <v>721</v>
      </c>
      <c r="C34" s="876"/>
      <c r="D34" s="536">
        <v>100</v>
      </c>
      <c r="E34" s="877"/>
      <c r="F34" s="571">
        <f>SUMIF(105:105,E34,106:106)-SUMIF(105:105,C34,106:106)+100</f>
        <v>100</v>
      </c>
      <c r="G34" s="876"/>
      <c r="H34" s="536">
        <f>SUMIF(105:105,G34,106:106)-SUMIF(105:105,C34,106:106)+100</f>
        <v>100</v>
      </c>
      <c r="I34" s="876"/>
      <c r="J34" s="536">
        <f>SUMIF(105:105,I34,106:106)-SUMIF(105:105,C34,106:106)+100</f>
        <v>100</v>
      </c>
      <c r="K34" s="580"/>
      <c r="L34" s="2137"/>
      <c r="M34" s="2129"/>
      <c r="N34" s="2129"/>
      <c r="O34" s="2136"/>
      <c r="P34" s="3468"/>
      <c r="Q34" s="1567" t="str">
        <f t="shared" si="11"/>
        <v>建筑结构</v>
      </c>
      <c r="R34" s="1568" t="s">
        <v>8</v>
      </c>
      <c r="S34" s="1569">
        <f t="shared" si="12"/>
        <v>100</v>
      </c>
      <c r="T34" s="1568" t="s">
        <v>8</v>
      </c>
      <c r="U34" s="1569">
        <f t="shared" si="13"/>
        <v>100</v>
      </c>
      <c r="V34" s="1568" t="s">
        <v>8</v>
      </c>
      <c r="W34" s="1569">
        <f t="shared" si="14"/>
        <v>100</v>
      </c>
      <c r="X34" s="1562"/>
      <c r="Y34" s="3468"/>
      <c r="Z34" s="1570" t="str">
        <f t="shared" si="15"/>
        <v>建筑结构</v>
      </c>
      <c r="AA34" s="1571">
        <f t="shared" si="3"/>
        <v>1</v>
      </c>
      <c r="AB34" s="1571">
        <f t="shared" si="4"/>
        <v>1</v>
      </c>
      <c r="AC34" s="1571">
        <f t="shared" si="5"/>
        <v>1</v>
      </c>
    </row>
    <row r="35" spans="1:29" ht="15">
      <c r="A35" s="590"/>
      <c r="B35" s="525" t="s">
        <v>756</v>
      </c>
      <c r="C35" s="595"/>
      <c r="D35" s="536">
        <v>100</v>
      </c>
      <c r="E35" s="595"/>
      <c r="F35" s="571">
        <f>SUMIF(107:107,E35,108:108)-SUMIF(107:107,C35,108:108)+100</f>
        <v>100</v>
      </c>
      <c r="G35" s="595"/>
      <c r="H35" s="536">
        <f>SUMIF(107:107,G35,108:108)-SUMIF(107:107,C35,108:108)+100</f>
        <v>100</v>
      </c>
      <c r="I35" s="595"/>
      <c r="J35" s="536">
        <f>SUMIF(107:107,I35,108:108)-SUMIF(107:107,C35,108:108)+100</f>
        <v>100</v>
      </c>
      <c r="K35" s="580"/>
      <c r="L35" s="2137"/>
      <c r="M35" s="2129"/>
      <c r="N35" s="2129"/>
      <c r="O35" s="2136"/>
      <c r="P35" s="3468"/>
      <c r="Q35" s="1567" t="str">
        <f t="shared" si="11"/>
        <v>公共部分装修</v>
      </c>
      <c r="R35" s="1568" t="s">
        <v>8</v>
      </c>
      <c r="S35" s="1569">
        <f t="shared" si="12"/>
        <v>100</v>
      </c>
      <c r="T35" s="1568" t="s">
        <v>8</v>
      </c>
      <c r="U35" s="1569">
        <f t="shared" si="13"/>
        <v>100</v>
      </c>
      <c r="V35" s="1568" t="s">
        <v>8</v>
      </c>
      <c r="W35" s="1569">
        <f t="shared" si="14"/>
        <v>100</v>
      </c>
      <c r="X35" s="1562"/>
      <c r="Y35" s="3468"/>
      <c r="Z35" s="1570" t="str">
        <f t="shared" si="15"/>
        <v>公共部分装修</v>
      </c>
      <c r="AA35" s="1571">
        <f t="shared" si="3"/>
        <v>1</v>
      </c>
      <c r="AB35" s="1571">
        <f t="shared" si="4"/>
        <v>1</v>
      </c>
      <c r="AC35" s="1571">
        <f t="shared" si="5"/>
        <v>1</v>
      </c>
    </row>
    <row r="36" spans="1:29" ht="15">
      <c r="A36" s="590"/>
      <c r="B36" s="525" t="s">
        <v>757</v>
      </c>
      <c r="C36" s="878"/>
      <c r="D36" s="536">
        <v>100</v>
      </c>
      <c r="E36" s="878"/>
      <c r="F36" s="571" t="e">
        <f>LOOKUP(E36,110:110,111:111)-LOOKUP(C36,110:110,111:111)+100</f>
        <v>#N/A</v>
      </c>
      <c r="G36" s="878"/>
      <c r="H36" s="571" t="e">
        <f>LOOKUP(G36,110:110,111:111)-LOOKUP(C36,110:110,111:111)+100</f>
        <v>#N/A</v>
      </c>
      <c r="I36" s="878"/>
      <c r="J36" s="536" t="e">
        <f>LOOKUP(I36,110:110,111:111)-LOOKUP(C36,110:110,111:111)+100</f>
        <v>#N/A</v>
      </c>
      <c r="K36" s="580"/>
      <c r="L36" s="2137"/>
      <c r="M36" s="2129"/>
      <c r="N36" s="2129"/>
      <c r="O36" s="2136"/>
      <c r="P36" s="3468"/>
      <c r="Q36" s="1567" t="str">
        <f t="shared" si="11"/>
        <v>成新度</v>
      </c>
      <c r="R36" s="1568" t="s">
        <v>8</v>
      </c>
      <c r="S36" s="1569" t="e">
        <f t="shared" si="12"/>
        <v>#N/A</v>
      </c>
      <c r="T36" s="1568" t="s">
        <v>8</v>
      </c>
      <c r="U36" s="1569" t="e">
        <f t="shared" si="13"/>
        <v>#N/A</v>
      </c>
      <c r="V36" s="1568" t="s">
        <v>8</v>
      </c>
      <c r="W36" s="1569" t="e">
        <f t="shared" si="14"/>
        <v>#N/A</v>
      </c>
      <c r="X36" s="1562"/>
      <c r="Y36" s="3468"/>
      <c r="Z36" s="1570" t="str">
        <f t="shared" si="15"/>
        <v>成新度</v>
      </c>
      <c r="AA36" s="1571" t="e">
        <f t="shared" si="3"/>
        <v>#N/A</v>
      </c>
      <c r="AB36" s="1571" t="e">
        <f t="shared" si="4"/>
        <v>#N/A</v>
      </c>
      <c r="AC36" s="1571" t="e">
        <f t="shared" si="5"/>
        <v>#N/A</v>
      </c>
    </row>
    <row r="37" spans="1:29" s="1215" customFormat="1" ht="15">
      <c r="A37" s="596"/>
      <c r="B37" s="1890" t="s">
        <v>2562</v>
      </c>
      <c r="C37" s="595"/>
      <c r="D37" s="250">
        <v>100</v>
      </c>
      <c r="E37" s="595"/>
      <c r="F37" s="571">
        <f>SUMIF(112:112,E37,113:113)-SUMIF(112:112,C37,113:113)+100</f>
        <v>100</v>
      </c>
      <c r="G37" s="595"/>
      <c r="H37" s="536">
        <f>SUMIF(112:112,G37,113:113)-SUMIF(112:112,C37,113:113)+100</f>
        <v>100</v>
      </c>
      <c r="I37" s="595"/>
      <c r="J37" s="536">
        <f>SUMIF(112:112,I37,113:113)-SUMIF(112:112,C37,113:113)+100</f>
        <v>100</v>
      </c>
      <c r="K37" s="580"/>
      <c r="L37" s="2130"/>
      <c r="M37" s="2131"/>
      <c r="N37" s="2131"/>
      <c r="O37" s="2132"/>
      <c r="P37" s="3468"/>
      <c r="Q37" s="1146" t="str">
        <f t="shared" si="11"/>
        <v>市政基础设施</v>
      </c>
      <c r="R37" s="1563" t="s">
        <v>8</v>
      </c>
      <c r="S37" s="1564">
        <f t="shared" si="12"/>
        <v>100</v>
      </c>
      <c r="T37" s="1563" t="s">
        <v>8</v>
      </c>
      <c r="U37" s="1564">
        <f t="shared" si="13"/>
        <v>100</v>
      </c>
      <c r="V37" s="1563" t="s">
        <v>8</v>
      </c>
      <c r="W37" s="1564">
        <f t="shared" si="14"/>
        <v>100</v>
      </c>
      <c r="X37" s="1565"/>
      <c r="Y37" s="3468"/>
      <c r="Z37" s="1145" t="str">
        <f t="shared" si="15"/>
        <v>市政基础设施</v>
      </c>
      <c r="AA37" s="1566">
        <f t="shared" si="3"/>
        <v>1</v>
      </c>
      <c r="AB37" s="1566">
        <f t="shared" si="4"/>
        <v>1</v>
      </c>
      <c r="AC37" s="1566">
        <f t="shared" si="5"/>
        <v>1</v>
      </c>
    </row>
    <row r="38" spans="1:29" ht="15">
      <c r="A38" s="590"/>
      <c r="B38" s="525" t="s">
        <v>758</v>
      </c>
      <c r="C38" s="595"/>
      <c r="D38" s="536">
        <v>100</v>
      </c>
      <c r="E38" s="595"/>
      <c r="F38" s="571">
        <f>SUMIF(114:114,E38,115:115)-SUMIF(114:114,C38,115:115)+100</f>
        <v>100</v>
      </c>
      <c r="G38" s="595"/>
      <c r="H38" s="536">
        <f>SUMIF(114:114,G38,115:115)-SUMIF(114:114,C38,115:115)+100</f>
        <v>100</v>
      </c>
      <c r="I38" s="595"/>
      <c r="J38" s="536">
        <f>SUMIF(114:114,I38,115:115)-SUMIF(114:114,C38,115:115)+100</f>
        <v>100</v>
      </c>
      <c r="K38" s="580"/>
      <c r="L38" s="2137"/>
      <c r="M38" s="2129"/>
      <c r="N38" s="2129"/>
      <c r="O38" s="2136"/>
      <c r="P38" s="3468" t="s">
        <v>759</v>
      </c>
      <c r="Q38" s="1567" t="str">
        <f t="shared" si="11"/>
        <v>业态</v>
      </c>
      <c r="R38" s="1568" t="s">
        <v>8</v>
      </c>
      <c r="S38" s="1569">
        <f t="shared" si="12"/>
        <v>100</v>
      </c>
      <c r="T38" s="1568" t="s">
        <v>8</v>
      </c>
      <c r="U38" s="1569">
        <f t="shared" si="13"/>
        <v>100</v>
      </c>
      <c r="V38" s="1568" t="s">
        <v>8</v>
      </c>
      <c r="W38" s="1569">
        <f t="shared" si="14"/>
        <v>100</v>
      </c>
      <c r="X38" s="1562"/>
      <c r="Y38" s="3468" t="s">
        <v>759</v>
      </c>
      <c r="Z38" s="1570" t="str">
        <f t="shared" si="15"/>
        <v>业态</v>
      </c>
      <c r="AA38" s="1571">
        <f t="shared" si="3"/>
        <v>1</v>
      </c>
      <c r="AB38" s="1571">
        <f t="shared" si="4"/>
        <v>1</v>
      </c>
      <c r="AC38" s="1571">
        <f t="shared" si="5"/>
        <v>1</v>
      </c>
    </row>
    <row r="39" spans="1:29" ht="15">
      <c r="A39" s="590"/>
      <c r="B39" s="525" t="s">
        <v>760</v>
      </c>
      <c r="C39" s="595"/>
      <c r="D39" s="536">
        <v>100</v>
      </c>
      <c r="E39" s="595"/>
      <c r="F39" s="571">
        <f>SUMIF(116:116,E39,117:117)-SUMIF(116:116,C39,117:117)+100</f>
        <v>100</v>
      </c>
      <c r="G39" s="595"/>
      <c r="H39" s="536">
        <f>SUMIF(116:116,G39,117:117)-SUMIF(116:116,C39,117:117)+100</f>
        <v>100</v>
      </c>
      <c r="I39" s="595"/>
      <c r="J39" s="536">
        <f>SUMIF(116:116,I39,117:117)-SUMIF(116:116,C39,117:117)+100</f>
        <v>100</v>
      </c>
      <c r="K39" s="580"/>
      <c r="L39" s="2137"/>
      <c r="M39" s="2129"/>
      <c r="N39" s="2129"/>
      <c r="O39" s="2136"/>
      <c r="P39" s="3468"/>
      <c r="Q39" s="1567" t="str">
        <f t="shared" si="11"/>
        <v>层高</v>
      </c>
      <c r="R39" s="1568" t="s">
        <v>8</v>
      </c>
      <c r="S39" s="1569">
        <f t="shared" si="12"/>
        <v>100</v>
      </c>
      <c r="T39" s="1568" t="s">
        <v>8</v>
      </c>
      <c r="U39" s="1569">
        <f t="shared" si="13"/>
        <v>100</v>
      </c>
      <c r="V39" s="1568" t="s">
        <v>8</v>
      </c>
      <c r="W39" s="1569">
        <f t="shared" si="14"/>
        <v>100</v>
      </c>
      <c r="X39" s="1562"/>
      <c r="Y39" s="3468"/>
      <c r="Z39" s="1570" t="str">
        <f t="shared" si="15"/>
        <v>层高</v>
      </c>
      <c r="AA39" s="1571">
        <f t="shared" si="3"/>
        <v>1</v>
      </c>
      <c r="AB39" s="1571">
        <f t="shared" si="4"/>
        <v>1</v>
      </c>
      <c r="AC39" s="1571">
        <f t="shared" si="5"/>
        <v>1</v>
      </c>
    </row>
    <row r="40" spans="1:29" ht="15">
      <c r="A40" s="590"/>
      <c r="B40" s="525" t="s">
        <v>761</v>
      </c>
      <c r="C40" s="897"/>
      <c r="D40" s="536">
        <v>100</v>
      </c>
      <c r="E40" s="898"/>
      <c r="F40" s="571">
        <f>SUMIF(118:118,E40,119:119)-SUMIF(118:118,C40,119:119)+100</f>
        <v>100</v>
      </c>
      <c r="G40" s="898"/>
      <c r="H40" s="536">
        <f>SUMIF(118:118,G40,119:119)-SUMIF(118:118,C40,119:119)+100</f>
        <v>100</v>
      </c>
      <c r="I40" s="898"/>
      <c r="J40" s="536">
        <f>SUMIF(118:118,I40,119:119)-SUMIF(118:118,C40,119:119)+100</f>
        <v>100</v>
      </c>
      <c r="K40" s="577"/>
      <c r="L40" s="2137"/>
      <c r="M40" s="2129"/>
      <c r="N40" s="2129"/>
      <c r="O40" s="2136"/>
      <c r="P40" s="3468"/>
      <c r="Q40" s="1567" t="str">
        <f t="shared" si="11"/>
        <v>单套建筑面积</v>
      </c>
      <c r="R40" s="1568" t="s">
        <v>8</v>
      </c>
      <c r="S40" s="1569">
        <f t="shared" si="12"/>
        <v>100</v>
      </c>
      <c r="T40" s="1568" t="s">
        <v>8</v>
      </c>
      <c r="U40" s="1569">
        <f t="shared" si="13"/>
        <v>100</v>
      </c>
      <c r="V40" s="1568" t="s">
        <v>8</v>
      </c>
      <c r="W40" s="1569">
        <f t="shared" si="14"/>
        <v>100</v>
      </c>
      <c r="X40" s="1562"/>
      <c r="Y40" s="3468"/>
      <c r="Z40" s="1570" t="str">
        <f t="shared" si="15"/>
        <v>单套建筑面积</v>
      </c>
      <c r="AA40" s="1571">
        <f t="shared" si="3"/>
        <v>1</v>
      </c>
      <c r="AB40" s="1571">
        <f t="shared" si="4"/>
        <v>1</v>
      </c>
      <c r="AC40" s="1571">
        <f t="shared" si="5"/>
        <v>1</v>
      </c>
    </row>
    <row r="41" spans="1:29" s="1334" customFormat="1" ht="15">
      <c r="A41" s="599"/>
      <c r="B41" s="899" t="s">
        <v>762</v>
      </c>
      <c r="C41" s="579"/>
      <c r="D41" s="536">
        <v>100</v>
      </c>
      <c r="E41" s="579"/>
      <c r="F41" s="571">
        <f>SUMIF(120:120,E41,121:121)-SUMIF(120:120,C41,121:121)+100</f>
        <v>100</v>
      </c>
      <c r="G41" s="579"/>
      <c r="H41" s="536">
        <f>SUMIF(120:120,G41,121:121)-SUMIF(120:120,C41,121:121)+100</f>
        <v>100</v>
      </c>
      <c r="I41" s="579"/>
      <c r="J41" s="536">
        <f>SUMIF(120:120,I41,121:121)-SUMIF(120:120,C41,121:121)+100</f>
        <v>100</v>
      </c>
      <c r="K41" s="580"/>
      <c r="L41" s="2135"/>
      <c r="M41" s="2166"/>
      <c r="N41" s="2166"/>
      <c r="O41" s="2138"/>
      <c r="P41" s="3468"/>
      <c r="Q41" s="1600" t="str">
        <f t="shared" si="11"/>
        <v>进深比</v>
      </c>
      <c r="R41" s="1572" t="s">
        <v>8</v>
      </c>
      <c r="S41" s="1573">
        <f t="shared" si="12"/>
        <v>100</v>
      </c>
      <c r="T41" s="1572" t="s">
        <v>8</v>
      </c>
      <c r="U41" s="1573">
        <f t="shared" si="13"/>
        <v>100</v>
      </c>
      <c r="V41" s="1572" t="s">
        <v>8</v>
      </c>
      <c r="W41" s="1573">
        <f t="shared" si="14"/>
        <v>100</v>
      </c>
      <c r="X41" s="1574"/>
      <c r="Y41" s="3468"/>
      <c r="Z41" s="1575" t="str">
        <f t="shared" si="15"/>
        <v>进深比</v>
      </c>
      <c r="AA41" s="1571">
        <f t="shared" si="3"/>
        <v>1</v>
      </c>
      <c r="AB41" s="1571">
        <f t="shared" si="4"/>
        <v>1</v>
      </c>
      <c r="AC41" s="1571">
        <f t="shared" si="5"/>
        <v>1</v>
      </c>
    </row>
    <row r="42" spans="1:29" ht="15">
      <c r="A42" s="590"/>
      <c r="B42" s="525" t="s">
        <v>763</v>
      </c>
      <c r="C42" s="595"/>
      <c r="D42" s="536">
        <v>100</v>
      </c>
      <c r="E42" s="595"/>
      <c r="F42" s="571">
        <f>SUMIF(122:122,E42,123:123)-SUMIF(122:122,C42,123:123)+100</f>
        <v>100</v>
      </c>
      <c r="G42" s="595"/>
      <c r="H42" s="536">
        <f>SUMIF(122:122,G42,123:123)-SUMIF(122:122,C42,123:123)+100</f>
        <v>100</v>
      </c>
      <c r="I42" s="595"/>
      <c r="J42" s="536">
        <f>SUMIF(122:122,I42,123:123)-SUMIF(122:122,C42,123:123)+100</f>
        <v>100</v>
      </c>
      <c r="K42" s="580"/>
      <c r="L42" s="2137"/>
      <c r="M42" s="2129"/>
      <c r="N42" s="2129"/>
      <c r="O42" s="2136"/>
      <c r="P42" s="3468"/>
      <c r="Q42" s="1567" t="str">
        <f t="shared" si="11"/>
        <v>内部装修</v>
      </c>
      <c r="R42" s="1568" t="s">
        <v>8</v>
      </c>
      <c r="S42" s="1569">
        <f t="shared" si="12"/>
        <v>100</v>
      </c>
      <c r="T42" s="1568" t="s">
        <v>8</v>
      </c>
      <c r="U42" s="1569">
        <f t="shared" si="13"/>
        <v>100</v>
      </c>
      <c r="V42" s="1568" t="s">
        <v>8</v>
      </c>
      <c r="W42" s="1569">
        <f t="shared" si="14"/>
        <v>100</v>
      </c>
      <c r="X42" s="1562"/>
      <c r="Y42" s="3468"/>
      <c r="Z42" s="1570" t="str">
        <f t="shared" si="15"/>
        <v>内部装修</v>
      </c>
      <c r="AA42" s="1571">
        <f t="shared" si="3"/>
        <v>1</v>
      </c>
      <c r="AB42" s="1571">
        <f t="shared" si="4"/>
        <v>1</v>
      </c>
      <c r="AC42" s="1571">
        <f t="shared" si="5"/>
        <v>1</v>
      </c>
    </row>
    <row r="43" spans="1:29" ht="27">
      <c r="A43" s="590"/>
      <c r="B43" s="525" t="s">
        <v>728</v>
      </c>
      <c r="C43" s="595"/>
      <c r="D43" s="536">
        <v>100</v>
      </c>
      <c r="E43" s="595"/>
      <c r="F43" s="571">
        <f>SUMIF(124:124,E43,125:125)-SUMIF(124:124,C43,125:125)+100</f>
        <v>100</v>
      </c>
      <c r="G43" s="595"/>
      <c r="H43" s="536">
        <f>SUMIF(124:124,G43,125:125)-SUMIF(124:124,C43,125:125)+100</f>
        <v>100</v>
      </c>
      <c r="I43" s="595"/>
      <c r="J43" s="536">
        <f>SUMIF(124:124,I43,125:125)-SUMIF(124:124,C43,125:125)+100</f>
        <v>100</v>
      </c>
      <c r="K43" s="580"/>
      <c r="L43" s="2137"/>
      <c r="M43" s="2129"/>
      <c r="N43" s="2129"/>
      <c r="O43" s="2136"/>
      <c r="P43" s="3468"/>
      <c r="Q43" s="1567" t="str">
        <f t="shared" si="11"/>
        <v>内部装修维护情况</v>
      </c>
      <c r="R43" s="1568" t="s">
        <v>8</v>
      </c>
      <c r="S43" s="1569">
        <f t="shared" si="12"/>
        <v>100</v>
      </c>
      <c r="T43" s="1568" t="s">
        <v>8</v>
      </c>
      <c r="U43" s="1569">
        <f t="shared" si="13"/>
        <v>100</v>
      </c>
      <c r="V43" s="1568" t="s">
        <v>8</v>
      </c>
      <c r="W43" s="1569">
        <f t="shared" si="14"/>
        <v>100</v>
      </c>
      <c r="X43" s="1562"/>
      <c r="Y43" s="3468"/>
      <c r="Z43" s="1570" t="str">
        <f t="shared" si="15"/>
        <v>内部装修维护情况</v>
      </c>
      <c r="AA43" s="1571">
        <f t="shared" si="3"/>
        <v>1</v>
      </c>
      <c r="AB43" s="1571">
        <f t="shared" si="4"/>
        <v>1</v>
      </c>
      <c r="AC43" s="1571">
        <f t="shared" si="5"/>
        <v>1</v>
      </c>
    </row>
    <row r="44" spans="1:29" s="1215" customFormat="1" ht="15">
      <c r="A44" s="596"/>
      <c r="B44" s="873">
        <v>111</v>
      </c>
      <c r="C44" s="875"/>
      <c r="D44" s="250">
        <v>100</v>
      </c>
      <c r="E44" s="535"/>
      <c r="F44" s="859">
        <f>SUMIF(126:126,E44,127:127)-SUMIF(126:126,C44,127:127)+100</f>
        <v>100</v>
      </c>
      <c r="G44" s="535"/>
      <c r="H44" s="250">
        <f>SUMIF(126:126,G44,127:127)-SUMIF(126:126,C44,127:127)+100</f>
        <v>100</v>
      </c>
      <c r="I44" s="535"/>
      <c r="J44" s="250">
        <f>SUMIF(126:126,I44,127:127)-SUMIF(126:126,C44,127:127)+100</f>
        <v>100</v>
      </c>
      <c r="K44" s="577"/>
      <c r="L44" s="2130"/>
      <c r="M44" s="2131"/>
      <c r="N44" s="2131"/>
      <c r="O44" s="2132"/>
      <c r="P44" s="3468"/>
      <c r="Q44" s="1146">
        <f t="shared" si="11"/>
        <v>111</v>
      </c>
      <c r="R44" s="1563" t="s">
        <v>8</v>
      </c>
      <c r="S44" s="1564">
        <f t="shared" si="12"/>
        <v>100</v>
      </c>
      <c r="T44" s="1563" t="s">
        <v>8</v>
      </c>
      <c r="U44" s="1564">
        <f t="shared" si="13"/>
        <v>100</v>
      </c>
      <c r="V44" s="1563" t="s">
        <v>8</v>
      </c>
      <c r="W44" s="1564">
        <f t="shared" si="14"/>
        <v>100</v>
      </c>
      <c r="X44" s="1565"/>
      <c r="Y44" s="3468"/>
      <c r="Z44" s="1145">
        <f t="shared" si="15"/>
        <v>111</v>
      </c>
      <c r="AA44" s="1566">
        <f t="shared" si="3"/>
        <v>1</v>
      </c>
      <c r="AB44" s="1566">
        <f t="shared" si="4"/>
        <v>1</v>
      </c>
      <c r="AC44" s="1566">
        <f t="shared" si="5"/>
        <v>1</v>
      </c>
    </row>
    <row r="45" spans="1:29" ht="15">
      <c r="A45" s="590"/>
      <c r="B45" s="873">
        <v>111</v>
      </c>
      <c r="C45" s="535"/>
      <c r="D45" s="536">
        <v>100</v>
      </c>
      <c r="E45" s="535"/>
      <c r="F45" s="571">
        <f>SUMIF(128:128,E45,129:129)-SUMIF(128:128,C45,129:129)+100</f>
        <v>100</v>
      </c>
      <c r="G45" s="535"/>
      <c r="H45" s="536">
        <f>SUMIF(128:128,G45,129:129)-SUMIF(128:128,C45,129:129)+100</f>
        <v>100</v>
      </c>
      <c r="I45" s="535"/>
      <c r="J45" s="536">
        <f>SUMIF(128:128,I45,129:129)-SUMIF(128:128,C45,129:129)+100</f>
        <v>100</v>
      </c>
      <c r="K45" s="577"/>
      <c r="L45" s="2137"/>
      <c r="M45" s="2129"/>
      <c r="N45" s="2129"/>
      <c r="O45" s="2136"/>
      <c r="P45" s="3468"/>
      <c r="Q45" s="1567">
        <f t="shared" si="11"/>
        <v>111</v>
      </c>
      <c r="R45" s="1568" t="s">
        <v>8</v>
      </c>
      <c r="S45" s="1569">
        <f t="shared" si="12"/>
        <v>100</v>
      </c>
      <c r="T45" s="1568" t="s">
        <v>8</v>
      </c>
      <c r="U45" s="1569">
        <f t="shared" si="13"/>
        <v>100</v>
      </c>
      <c r="V45" s="1568" t="s">
        <v>8</v>
      </c>
      <c r="W45" s="1569">
        <f t="shared" si="14"/>
        <v>100</v>
      </c>
      <c r="X45" s="1562"/>
      <c r="Y45" s="3468"/>
      <c r="Z45" s="1570">
        <f t="shared" si="15"/>
        <v>111</v>
      </c>
      <c r="AA45" s="1571">
        <f t="shared" si="3"/>
        <v>1</v>
      </c>
      <c r="AB45" s="1571">
        <f t="shared" si="4"/>
        <v>1</v>
      </c>
      <c r="AC45" s="1571">
        <f t="shared" si="5"/>
        <v>1</v>
      </c>
    </row>
    <row r="46" spans="1:29" ht="15.75" thickBot="1">
      <c r="A46" s="881"/>
      <c r="B46" s="540">
        <v>111</v>
      </c>
      <c r="C46" s="541"/>
      <c r="D46" s="542">
        <v>100</v>
      </c>
      <c r="E46" s="535"/>
      <c r="F46" s="862">
        <f>SUMIF(130:130,E46,131:131)-SUMIF(130:130,C46,131:131)+100</f>
        <v>100</v>
      </c>
      <c r="G46" s="535"/>
      <c r="H46" s="542">
        <f>SUMIF(130:130,G46,131:131)-SUMIF(130:130,C46,131:131)+100</f>
        <v>100</v>
      </c>
      <c r="I46" s="535"/>
      <c r="J46" s="542">
        <f>SUMIF(130:130,I46,131:131)-SUMIF(130:130,C46,131:131)+100</f>
        <v>100</v>
      </c>
      <c r="K46" s="577"/>
      <c r="L46" s="2137"/>
      <c r="M46" s="2129"/>
      <c r="N46" s="2129"/>
      <c r="O46" s="2136"/>
      <c r="P46" s="3543"/>
      <c r="Q46" s="1567">
        <f t="shared" si="11"/>
        <v>111</v>
      </c>
      <c r="R46" s="1568" t="s">
        <v>8</v>
      </c>
      <c r="S46" s="1569">
        <f t="shared" si="12"/>
        <v>100</v>
      </c>
      <c r="T46" s="1568" t="s">
        <v>8</v>
      </c>
      <c r="U46" s="1569">
        <f t="shared" si="13"/>
        <v>100</v>
      </c>
      <c r="V46" s="1568" t="s">
        <v>8</v>
      </c>
      <c r="W46" s="1569">
        <f t="shared" si="14"/>
        <v>100</v>
      </c>
      <c r="X46" s="1562"/>
      <c r="Y46" s="3543"/>
      <c r="Z46" s="1570">
        <f t="shared" si="15"/>
        <v>111</v>
      </c>
      <c r="AA46" s="1571">
        <f t="shared" si="3"/>
        <v>1</v>
      </c>
      <c r="AB46" s="1571">
        <f t="shared" si="4"/>
        <v>1</v>
      </c>
      <c r="AC46" s="1571">
        <f t="shared" si="5"/>
        <v>1</v>
      </c>
    </row>
    <row r="47" spans="1:29" ht="15">
      <c r="A47" s="603" t="s">
        <v>729</v>
      </c>
      <c r="B47" s="882"/>
      <c r="C47" s="2646" t="s">
        <v>1</v>
      </c>
      <c r="D47" s="2647"/>
      <c r="E47" s="2648"/>
      <c r="F47" s="2649"/>
      <c r="G47" s="2650"/>
      <c r="H47" s="2651"/>
      <c r="I47" s="2648"/>
      <c r="J47" s="2651"/>
      <c r="K47" s="1606"/>
      <c r="L47" s="2139"/>
      <c r="M47" s="2140"/>
      <c r="N47" s="2129"/>
      <c r="O47" s="2140"/>
      <c r="P47" s="3463" t="str">
        <f>A47</f>
        <v>成交单价（元/平方米）</v>
      </c>
      <c r="Q47" s="3463"/>
      <c r="R47" s="3542">
        <f>E47</f>
        <v>0</v>
      </c>
      <c r="S47" s="3542"/>
      <c r="T47" s="3542">
        <f>G47</f>
        <v>0</v>
      </c>
      <c r="U47" s="3542"/>
      <c r="V47" s="3542">
        <f>I47</f>
        <v>0</v>
      </c>
      <c r="W47" s="3542"/>
      <c r="X47" s="1554"/>
      <c r="Y47" s="1576"/>
      <c r="Z47" s="1554"/>
      <c r="AA47" s="1554"/>
      <c r="AB47" s="1554"/>
      <c r="AC47" s="1554"/>
    </row>
    <row r="48" spans="1:29" ht="15.75" thickBot="1">
      <c r="A48" s="611" t="s">
        <v>2759</v>
      </c>
      <c r="B48" s="883"/>
      <c r="C48" s="2652" t="e">
        <f>R49</f>
        <v>#DIV/0!</v>
      </c>
      <c r="D48" s="2653"/>
      <c r="E48" s="2654" t="e">
        <f>R48</f>
        <v>#DIV/0!</v>
      </c>
      <c r="F48" s="2654"/>
      <c r="G48" s="2652" t="e">
        <f>T48</f>
        <v>#DIV/0!</v>
      </c>
      <c r="H48" s="2653"/>
      <c r="I48" s="2654" t="e">
        <f>V48</f>
        <v>#DIV/0!</v>
      </c>
      <c r="J48" s="2653"/>
      <c r="K48" s="1607"/>
      <c r="L48" s="2139"/>
      <c r="M48" s="2140"/>
      <c r="N48" s="2129"/>
      <c r="O48" s="2140"/>
      <c r="P48" s="3463" t="str">
        <f>A48</f>
        <v>比较价格（元/平方米）</v>
      </c>
      <c r="Q48" s="3463"/>
      <c r="R48" s="3542" t="e">
        <f>IF(F1="售价",ROUND(PRODUCT(R47,AA7:AA46),0),ROUND(PRODUCT(R47,AA7:AA46),1))</f>
        <v>#DIV/0!</v>
      </c>
      <c r="S48" s="3542"/>
      <c r="T48" s="3542" t="e">
        <f>IF(F1="售价",ROUND(PRODUCT(T47,AB7:AB46),0),ROUND(PRODUCT(T47,AB7:AB46),1))</f>
        <v>#DIV/0!</v>
      </c>
      <c r="U48" s="3542"/>
      <c r="V48" s="3542" t="e">
        <f>IF(F1="售价",ROUND(PRODUCT(V47,AC7:AC46),0),ROUND(PRODUCT(V47,AC7:AC46),1))</f>
        <v>#DIV/0!</v>
      </c>
      <c r="W48" s="3542"/>
      <c r="X48" s="1554"/>
      <c r="Y48" s="1554"/>
      <c r="Z48" s="1554"/>
      <c r="AA48" s="1554"/>
      <c r="AB48" s="1554"/>
      <c r="AC48" s="1554"/>
    </row>
    <row r="49" spans="1:29" ht="15.75" thickBot="1">
      <c r="A49" s="617" t="s">
        <v>2929</v>
      </c>
      <c r="B49" s="618"/>
      <c r="C49" s="2655" t="e">
        <f>R49</f>
        <v>#DIV/0!</v>
      </c>
      <c r="D49" s="2655"/>
      <c r="E49" s="2655"/>
      <c r="F49" s="2655"/>
      <c r="G49" s="2655"/>
      <c r="H49" s="2655"/>
      <c r="I49" s="2655"/>
      <c r="J49" s="2655"/>
      <c r="K49" s="1608"/>
      <c r="L49" s="2139"/>
      <c r="M49" s="2140"/>
      <c r="N49" s="2129"/>
      <c r="O49" s="2140"/>
      <c r="P49" s="3484" t="str">
        <f>A49</f>
        <v>估价对象XX用房的比较价格（楼面单价，元/平方米）</v>
      </c>
      <c r="Q49" s="3485"/>
      <c r="R49" s="3541" t="e">
        <f>IF(F1="售价",ROUND(AVERAGE(R48:V48),0),ROUND(AVERAGE(R48:V48),1))</f>
        <v>#DIV/0!</v>
      </c>
      <c r="S49" s="3541"/>
      <c r="T49" s="3541"/>
      <c r="U49" s="3541"/>
      <c r="V49" s="3541"/>
      <c r="W49" s="3541"/>
      <c r="X49" s="1554"/>
      <c r="Y49" s="1554"/>
      <c r="Z49" s="1554"/>
      <c r="AA49" s="1554"/>
      <c r="AB49" s="1554"/>
      <c r="AC49" s="1554"/>
    </row>
    <row r="50" spans="1:29">
      <c r="A50" s="2140"/>
      <c r="B50" s="2140"/>
      <c r="C50" s="2140"/>
      <c r="D50" s="2140"/>
      <c r="E50" s="2140"/>
      <c r="F50" s="2140"/>
      <c r="G50" s="2143"/>
      <c r="H50" s="2140"/>
      <c r="I50" s="2140"/>
      <c r="J50" s="2140"/>
      <c r="K50" s="2144"/>
      <c r="L50" s="2145"/>
      <c r="M50" s="2140"/>
      <c r="N50" s="2140"/>
      <c r="O50" s="2140"/>
      <c r="P50" s="2140"/>
      <c r="Q50" s="2140"/>
      <c r="R50" s="2140"/>
      <c r="S50" s="2140"/>
      <c r="T50" s="2140"/>
      <c r="U50" s="2140"/>
      <c r="V50" s="2140"/>
      <c r="W50" s="2140"/>
      <c r="X50" s="2140"/>
      <c r="Y50" s="2140"/>
      <c r="Z50" s="2140"/>
      <c r="AA50" s="2140"/>
      <c r="AB50" s="2140"/>
      <c r="AC50" s="2140"/>
    </row>
    <row r="51" spans="1:29">
      <c r="A51" s="2140"/>
      <c r="B51" s="2140"/>
      <c r="C51" s="2140"/>
      <c r="D51" s="2140"/>
      <c r="E51" s="2140"/>
      <c r="F51" s="2140"/>
      <c r="G51" s="2140"/>
      <c r="H51" s="2140"/>
      <c r="I51" s="2140"/>
      <c r="J51" s="2140"/>
      <c r="K51" s="2144"/>
      <c r="L51" s="2145"/>
      <c r="M51" s="2140"/>
      <c r="N51" s="2140"/>
      <c r="O51" s="2140"/>
      <c r="P51" s="2140"/>
      <c r="Q51" s="2140"/>
      <c r="R51" s="2140"/>
      <c r="S51" s="2140"/>
      <c r="T51" s="2140"/>
      <c r="U51" s="2140"/>
      <c r="V51" s="2140"/>
      <c r="W51" s="2140"/>
      <c r="X51" s="2140"/>
      <c r="Y51" s="2140"/>
      <c r="Z51" s="2140"/>
      <c r="AA51" s="2140"/>
      <c r="AB51" s="2140"/>
      <c r="AC51" s="2140"/>
    </row>
    <row r="52" spans="1:29" ht="13.5" customHeight="1">
      <c r="A52" s="2140"/>
      <c r="B52" s="2140"/>
      <c r="C52" s="620" t="s">
        <v>551</v>
      </c>
      <c r="D52" s="621"/>
      <c r="E52" s="622" t="e">
        <f>IF(E47&lt;E48,E48/E47-1,E47/E48-1)</f>
        <v>#DIV/0!</v>
      </c>
      <c r="F52" s="623" t="e">
        <f>IF(OR(E52&gt;=0.3,E52&lt;=-0.3),"超过30%","")</f>
        <v>#DIV/0!</v>
      </c>
      <c r="G52" s="622" t="e">
        <f>IF(G47&lt;G48,G48/G47-1,G47/G48-1)</f>
        <v>#DIV/0!</v>
      </c>
      <c r="H52" s="623" t="e">
        <f>IF(OR(G52&gt;=0.3,G52&lt;=-0.3),"超过30%","")</f>
        <v>#DIV/0!</v>
      </c>
      <c r="I52" s="622" t="e">
        <f>IF(I47&lt;I48,I48/I47-1,I47/I48-1)</f>
        <v>#DIV/0!</v>
      </c>
      <c r="J52" s="623" t="e">
        <f>IF(OR(I52&gt;=0.3,I52&lt;=-0.3),"超过30%","")</f>
        <v>#DIV/0!</v>
      </c>
      <c r="K52" s="2144"/>
      <c r="L52" s="2145"/>
      <c r="M52" s="2140"/>
      <c r="N52" s="2140"/>
      <c r="O52" s="2140"/>
      <c r="P52" s="2140"/>
      <c r="Q52" s="2140"/>
      <c r="R52" s="2140"/>
      <c r="S52" s="2140"/>
      <c r="T52" s="2140"/>
      <c r="U52" s="2140"/>
      <c r="V52" s="2140"/>
      <c r="W52" s="2140"/>
      <c r="X52" s="2140"/>
      <c r="Y52" s="2140"/>
      <c r="Z52" s="2140"/>
      <c r="AA52" s="2140"/>
      <c r="AB52" s="2140"/>
      <c r="AC52" s="2140"/>
    </row>
    <row r="53" spans="1:29" ht="13.5" customHeight="1">
      <c r="A53" s="2140"/>
      <c r="B53" s="2140"/>
      <c r="C53" s="620" t="s">
        <v>552</v>
      </c>
      <c r="D53" s="624"/>
      <c r="E53" s="622" t="e">
        <f>IF(E48&lt;G48,G48/E48-1,E48/G48-1)</f>
        <v>#DIV/0!</v>
      </c>
      <c r="F53" s="623" t="e">
        <f>IF(OR(E53&gt;=0.2,E53&lt;=-0.2),"超过20%","")</f>
        <v>#DIV/0!</v>
      </c>
      <c r="G53" s="622" t="e">
        <f>IF(G48&lt;I48,I48/G48-1,G48/I48-1)</f>
        <v>#DIV/0!</v>
      </c>
      <c r="H53" s="623" t="e">
        <f>IF(OR(G53&gt;=0.2,G53&lt;=-0.2),"超过20%","")</f>
        <v>#DIV/0!</v>
      </c>
      <c r="I53" s="622" t="e">
        <f>IF(I48&lt;E48,E48/I48-1,I48/E48-1)</f>
        <v>#DIV/0!</v>
      </c>
      <c r="J53" s="623" t="e">
        <f>IF(OR(I53&gt;=0.2,I53&lt;=-0.2),"超过20%","")</f>
        <v>#DIV/0!</v>
      </c>
      <c r="K53" s="2144"/>
      <c r="L53" s="2145"/>
      <c r="M53" s="2140"/>
      <c r="N53" s="2140"/>
      <c r="O53" s="2140"/>
      <c r="P53" s="2140"/>
      <c r="Q53" s="2140"/>
      <c r="R53" s="2140"/>
      <c r="S53" s="2140"/>
      <c r="T53" s="2140"/>
      <c r="U53" s="2140"/>
      <c r="V53" s="2140"/>
      <c r="W53" s="2140"/>
      <c r="X53" s="2140"/>
      <c r="Y53" s="2140"/>
      <c r="Z53" s="2140"/>
      <c r="AA53" s="2140"/>
      <c r="AB53" s="2140"/>
      <c r="AC53" s="2140"/>
    </row>
    <row r="54" spans="1:29" s="1340" customFormat="1" ht="13.5" customHeight="1">
      <c r="A54" s="2141"/>
      <c r="B54" s="2141"/>
      <c r="C54" s="620" t="s">
        <v>553</v>
      </c>
      <c r="D54" s="624"/>
      <c r="E54" s="622" t="e">
        <f>IF(E47&lt;G47,G47/E47-1,E47/G47-1)</f>
        <v>#DIV/0!</v>
      </c>
      <c r="F54" s="623" t="e">
        <f>IF(OR(E54&gt;=0.3,E54&lt;=-0.3),"超过30%","")</f>
        <v>#DIV/0!</v>
      </c>
      <c r="G54" s="622" t="e">
        <f>IF(G47&lt;I47,I47/G47-1,G47/I47-1)</f>
        <v>#DIV/0!</v>
      </c>
      <c r="H54" s="623" t="e">
        <f>IF(OR(G54&gt;=0.3,G54&lt;=-0.3),"超过30%","")</f>
        <v>#DIV/0!</v>
      </c>
      <c r="I54" s="622" t="e">
        <f>IF(I47&lt;E47,E47/I47-1,I47/E47-1)</f>
        <v>#DIV/0!</v>
      </c>
      <c r="J54" s="623" t="e">
        <f>IF(OR(I54&gt;=0.3,I54&lt;=-0.3),"超过30%","")</f>
        <v>#DIV/0!</v>
      </c>
      <c r="K54" s="2147"/>
      <c r="L54" s="2148"/>
      <c r="M54" s="2141"/>
      <c r="N54" s="2141"/>
      <c r="O54" s="2141"/>
      <c r="P54" s="2141"/>
      <c r="Q54" s="2141"/>
      <c r="R54" s="2141"/>
      <c r="S54" s="2141"/>
      <c r="T54" s="2141"/>
      <c r="U54" s="2141"/>
      <c r="V54" s="2141"/>
      <c r="W54" s="2141"/>
      <c r="X54" s="2141"/>
      <c r="Y54" s="2141"/>
      <c r="Z54" s="2141"/>
      <c r="AA54" s="2141"/>
      <c r="AB54" s="2141"/>
      <c r="AC54" s="2141"/>
    </row>
    <row r="55" spans="1:29" s="1340" customFormat="1">
      <c r="A55" s="2141"/>
      <c r="B55" s="2142"/>
      <c r="C55" s="2146"/>
      <c r="D55" s="2141"/>
      <c r="E55" s="2141"/>
      <c r="F55" s="2141"/>
      <c r="G55" s="2141"/>
      <c r="H55" s="2141"/>
      <c r="I55" s="2141"/>
      <c r="J55" s="2141"/>
      <c r="K55" s="2147"/>
      <c r="L55" s="2148"/>
      <c r="M55" s="2141"/>
      <c r="N55" s="2141"/>
      <c r="O55" s="2141"/>
      <c r="P55" s="2141"/>
      <c r="Q55" s="2141"/>
      <c r="R55" s="2141"/>
      <c r="S55" s="2141"/>
      <c r="T55" s="2141"/>
      <c r="U55" s="2141"/>
      <c r="V55" s="2141"/>
      <c r="W55" s="2141"/>
      <c r="X55" s="2141"/>
      <c r="Y55" s="2141"/>
      <c r="Z55" s="2141"/>
      <c r="AA55" s="2141"/>
      <c r="AB55" s="2141"/>
      <c r="AC55" s="2141"/>
    </row>
    <row r="56" spans="1:29">
      <c r="A56" s="2140"/>
      <c r="B56" s="2142"/>
      <c r="C56" s="2146"/>
      <c r="D56" s="2140"/>
      <c r="E56" s="2140"/>
      <c r="F56" s="2140"/>
      <c r="G56" s="2140"/>
      <c r="H56" s="2140"/>
      <c r="I56" s="2140"/>
      <c r="J56" s="2140"/>
      <c r="K56" s="2144"/>
      <c r="L56" s="2145"/>
      <c r="M56" s="2140"/>
      <c r="N56" s="2140"/>
      <c r="O56" s="2140"/>
      <c r="P56" s="2140"/>
      <c r="Q56" s="2140"/>
      <c r="R56" s="2140"/>
      <c r="S56" s="2140"/>
      <c r="T56" s="2140"/>
      <c r="U56" s="2140"/>
      <c r="V56" s="2140"/>
      <c r="W56" s="2140"/>
      <c r="X56" s="2140"/>
      <c r="Y56" s="2140"/>
      <c r="Z56" s="2140"/>
      <c r="AA56" s="2140"/>
      <c r="AB56" s="2140"/>
      <c r="AC56" s="2140"/>
    </row>
    <row r="57" spans="1:29" ht="21.75" thickBot="1">
      <c r="A57" s="1579" t="s">
        <v>568</v>
      </c>
      <c r="B57" s="1554"/>
      <c r="C57" s="1578"/>
      <c r="D57" s="1578"/>
      <c r="E57" s="1578"/>
      <c r="F57" s="1580"/>
      <c r="G57" s="1580"/>
      <c r="H57" s="1578"/>
      <c r="I57" s="1578"/>
      <c r="J57" s="1578"/>
      <c r="K57" s="1581"/>
      <c r="L57" s="1577"/>
      <c r="M57" s="1578"/>
      <c r="N57" s="1578"/>
      <c r="O57" s="1578"/>
      <c r="P57" s="2152"/>
      <c r="Q57" s="2153"/>
      <c r="R57" s="2140"/>
      <c r="S57" s="2140"/>
      <c r="T57" s="2140"/>
      <c r="U57" s="2140"/>
      <c r="V57" s="2140"/>
      <c r="W57" s="2140"/>
      <c r="X57" s="2140"/>
      <c r="Y57" s="2140"/>
      <c r="Z57" s="2140"/>
      <c r="AA57" s="2140"/>
      <c r="AB57" s="2140"/>
      <c r="AC57" s="2140"/>
    </row>
    <row r="58" spans="1:29" s="1342" customFormat="1" ht="15">
      <c r="A58" s="641" t="s">
        <v>523</v>
      </c>
      <c r="B58" s="642"/>
      <c r="C58" s="2823" t="str">
        <f>YEAR(C7)&amp;"-"&amp;MONTH(C7)</f>
        <v>2017-10</v>
      </c>
      <c r="D58" s="2825">
        <f>EDATE(C58,-1)</f>
        <v>42979</v>
      </c>
      <c r="E58" s="2825">
        <f t="shared" ref="E58:O58" si="16">EDATE(D58,-1)</f>
        <v>42948</v>
      </c>
      <c r="F58" s="2825">
        <f t="shared" si="16"/>
        <v>42917</v>
      </c>
      <c r="G58" s="2825">
        <f t="shared" si="16"/>
        <v>42887</v>
      </c>
      <c r="H58" s="2825">
        <f t="shared" si="16"/>
        <v>42856</v>
      </c>
      <c r="I58" s="2825">
        <f t="shared" si="16"/>
        <v>42826</v>
      </c>
      <c r="J58" s="2825">
        <f t="shared" si="16"/>
        <v>42795</v>
      </c>
      <c r="K58" s="2825">
        <f t="shared" si="16"/>
        <v>42767</v>
      </c>
      <c r="L58" s="2825">
        <f t="shared" si="16"/>
        <v>42736</v>
      </c>
      <c r="M58" s="2825">
        <f t="shared" si="16"/>
        <v>42705</v>
      </c>
      <c r="N58" s="2825">
        <f t="shared" si="16"/>
        <v>42675</v>
      </c>
      <c r="O58" s="2825">
        <f t="shared" si="16"/>
        <v>42644</v>
      </c>
      <c r="P58" s="2155"/>
      <c r="Q58" s="2156"/>
      <c r="R58" s="2156"/>
      <c r="S58" s="2156"/>
      <c r="T58" s="2156"/>
      <c r="U58" s="2156"/>
      <c r="V58" s="2156"/>
      <c r="W58" s="2156"/>
      <c r="X58" s="2156"/>
      <c r="Y58" s="2156"/>
      <c r="Z58" s="2156"/>
      <c r="AA58" s="2156"/>
      <c r="AB58" s="2156"/>
      <c r="AC58" s="2156"/>
    </row>
    <row r="59" spans="1:29" s="1215" customFormat="1" ht="15">
      <c r="A59" s="643"/>
      <c r="B59" s="644"/>
      <c r="C59" s="645">
        <v>100</v>
      </c>
      <c r="D59" s="646"/>
      <c r="E59" s="646"/>
      <c r="F59" s="646"/>
      <c r="G59" s="646"/>
      <c r="H59" s="646"/>
      <c r="I59" s="646"/>
      <c r="J59" s="646"/>
      <c r="K59" s="646"/>
      <c r="L59" s="646"/>
      <c r="M59" s="647"/>
      <c r="N59" s="646"/>
      <c r="O59" s="648"/>
      <c r="P59" s="2153"/>
      <c r="Q59" s="1988"/>
      <c r="R59" s="1988"/>
      <c r="S59" s="1988"/>
      <c r="T59" s="1988"/>
      <c r="U59" s="1988"/>
      <c r="V59" s="1988"/>
      <c r="W59" s="1988"/>
      <c r="X59" s="1988"/>
      <c r="Y59" s="1988"/>
      <c r="Z59" s="1988"/>
      <c r="AA59" s="1988"/>
      <c r="AB59" s="1988"/>
      <c r="AC59" s="1988"/>
    </row>
    <row r="60" spans="1:29" s="1215" customFormat="1" ht="15.75" thickBot="1">
      <c r="A60" s="649" t="s">
        <v>569</v>
      </c>
      <c r="B60" s="650"/>
      <c r="C60" s="651"/>
      <c r="D60" s="652"/>
      <c r="E60" s="652"/>
      <c r="F60" s="652"/>
      <c r="G60" s="652"/>
      <c r="H60" s="652"/>
      <c r="I60" s="652"/>
      <c r="J60" s="652"/>
      <c r="K60" s="652"/>
      <c r="L60" s="652"/>
      <c r="M60" s="653"/>
      <c r="N60" s="652"/>
      <c r="O60" s="654"/>
      <c r="P60" s="2153"/>
      <c r="Q60" s="2153"/>
      <c r="R60" s="1988"/>
      <c r="S60" s="1988"/>
      <c r="T60" s="1988"/>
      <c r="U60" s="1988"/>
      <c r="V60" s="1988"/>
      <c r="W60" s="1988"/>
      <c r="X60" s="1988"/>
      <c r="Y60" s="1988"/>
      <c r="Z60" s="1988"/>
      <c r="AA60" s="1988"/>
      <c r="AB60" s="1988"/>
      <c r="AC60" s="1988"/>
    </row>
    <row r="61" spans="1:29" s="1215" customFormat="1" ht="15">
      <c r="A61" s="655" t="s">
        <v>525</v>
      </c>
      <c r="B61" s="644"/>
      <c r="C61" s="656" t="s">
        <v>570</v>
      </c>
      <c r="D61" s="657"/>
      <c r="E61" s="657"/>
      <c r="F61" s="657"/>
      <c r="G61" s="657"/>
      <c r="H61" s="657"/>
      <c r="I61" s="657"/>
      <c r="J61" s="657"/>
      <c r="K61" s="657"/>
      <c r="L61" s="658"/>
      <c r="M61" s="659"/>
      <c r="N61" s="2157"/>
      <c r="O61" s="2157"/>
      <c r="P61" s="2158"/>
      <c r="Q61" s="2153"/>
      <c r="R61" s="1988"/>
      <c r="S61" s="1988"/>
      <c r="T61" s="1988"/>
      <c r="U61" s="1988"/>
      <c r="V61" s="1988"/>
      <c r="W61" s="1988"/>
      <c r="X61" s="1988"/>
      <c r="Y61" s="1988"/>
      <c r="Z61" s="1988"/>
      <c r="AA61" s="1988"/>
      <c r="AB61" s="1988"/>
      <c r="AC61" s="1988"/>
    </row>
    <row r="62" spans="1:29" s="1215" customFormat="1" ht="15.75" thickBot="1">
      <c r="A62" s="655"/>
      <c r="B62" s="644"/>
      <c r="C62" s="884">
        <v>100</v>
      </c>
      <c r="D62" s="646"/>
      <c r="E62" s="646"/>
      <c r="F62" s="646"/>
      <c r="G62" s="646"/>
      <c r="H62" s="646"/>
      <c r="I62" s="646"/>
      <c r="J62" s="646"/>
      <c r="K62" s="646"/>
      <c r="L62" s="646"/>
      <c r="M62" s="648"/>
      <c r="N62" s="2157"/>
      <c r="O62" s="2157"/>
      <c r="P62" s="2153"/>
      <c r="Q62" s="2153"/>
      <c r="R62" s="1988"/>
      <c r="S62" s="1988"/>
      <c r="T62" s="1988"/>
      <c r="U62" s="1988"/>
      <c r="V62" s="1988"/>
      <c r="W62" s="1988"/>
      <c r="X62" s="1988"/>
      <c r="Y62" s="1988"/>
      <c r="Z62" s="1988"/>
      <c r="AA62" s="1988"/>
      <c r="AB62" s="1988"/>
      <c r="AC62" s="1200"/>
    </row>
    <row r="63" spans="1:29">
      <c r="A63" s="660" t="s">
        <v>571</v>
      </c>
      <c r="B63" s="661" t="s">
        <v>528</v>
      </c>
      <c r="C63" s="700">
        <f>C9</f>
        <v>0</v>
      </c>
      <c r="D63" s="594"/>
      <c r="E63" s="594"/>
      <c r="F63" s="594"/>
      <c r="G63" s="594"/>
      <c r="H63" s="594"/>
      <c r="I63" s="594"/>
      <c r="J63" s="594"/>
      <c r="K63" s="662"/>
      <c r="L63" s="663"/>
      <c r="M63" s="664"/>
      <c r="N63" s="2159"/>
      <c r="O63" s="2159"/>
      <c r="P63" s="2160"/>
      <c r="Q63" s="2153"/>
      <c r="R63" s="2140"/>
      <c r="S63" s="2140"/>
      <c r="T63" s="2140"/>
      <c r="U63" s="2140"/>
      <c r="V63" s="2140"/>
      <c r="W63" s="2140"/>
      <c r="X63" s="2140"/>
      <c r="Y63" s="2140"/>
      <c r="Z63" s="2140"/>
      <c r="AA63" s="2140"/>
      <c r="AB63" s="2140"/>
      <c r="AC63" s="2140"/>
    </row>
    <row r="64" spans="1:29" ht="15.75" thickBot="1">
      <c r="A64" s="665"/>
      <c r="B64" s="666"/>
      <c r="C64" s="667"/>
      <c r="D64" s="667"/>
      <c r="E64" s="667"/>
      <c r="F64" s="667"/>
      <c r="G64" s="667"/>
      <c r="H64" s="667"/>
      <c r="I64" s="667"/>
      <c r="J64" s="667"/>
      <c r="K64" s="667"/>
      <c r="L64" s="667"/>
      <c r="M64" s="668"/>
      <c r="N64" s="2161"/>
      <c r="O64" s="2161"/>
      <c r="P64" s="2160"/>
      <c r="Q64" s="2153"/>
      <c r="R64" s="2140"/>
      <c r="S64" s="2140"/>
      <c r="T64" s="2140"/>
      <c r="U64" s="2140"/>
      <c r="V64" s="2140"/>
      <c r="W64" s="2140"/>
      <c r="X64" s="2140"/>
      <c r="Y64" s="2140"/>
      <c r="Z64" s="2140"/>
      <c r="AA64" s="2140"/>
      <c r="AB64" s="2140"/>
      <c r="AC64" s="2140"/>
    </row>
    <row r="65" spans="1:29" ht="27.75" thickTop="1">
      <c r="A65" s="665"/>
      <c r="B65" s="669" t="s">
        <v>531</v>
      </c>
      <c r="C65" s="670" t="s">
        <v>730</v>
      </c>
      <c r="D65" s="670" t="s">
        <v>731</v>
      </c>
      <c r="E65" s="670" t="s">
        <v>732</v>
      </c>
      <c r="F65" s="670" t="s">
        <v>733</v>
      </c>
      <c r="G65" s="670" t="s">
        <v>734</v>
      </c>
      <c r="H65" s="670" t="s">
        <v>735</v>
      </c>
      <c r="I65" s="670" t="s">
        <v>736</v>
      </c>
      <c r="J65" s="670"/>
      <c r="K65" s="671"/>
      <c r="L65" s="672"/>
      <c r="M65" s="673"/>
      <c r="N65" s="2159"/>
      <c r="O65" s="2159"/>
      <c r="P65" s="2160"/>
      <c r="Q65" s="2153"/>
      <c r="R65" s="2140"/>
      <c r="S65" s="2140"/>
      <c r="T65" s="2140"/>
      <c r="U65" s="2140"/>
      <c r="V65" s="2140"/>
      <c r="W65" s="2140"/>
      <c r="X65" s="2140"/>
      <c r="Y65" s="2140"/>
      <c r="Z65" s="2140"/>
      <c r="AA65" s="2140"/>
      <c r="AB65" s="2140"/>
      <c r="AC65" s="2140"/>
    </row>
    <row r="66" spans="1:29" ht="15.75" thickBot="1">
      <c r="A66" s="665"/>
      <c r="B66" s="674"/>
      <c r="C66" s="675" t="s">
        <v>14</v>
      </c>
      <c r="D66" s="675" t="s">
        <v>15</v>
      </c>
      <c r="E66" s="675" t="s">
        <v>16</v>
      </c>
      <c r="F66" s="675">
        <v>100</v>
      </c>
      <c r="G66" s="675">
        <f>F66-$K10</f>
        <v>100</v>
      </c>
      <c r="H66" s="675">
        <f>G66-$K10</f>
        <v>100</v>
      </c>
      <c r="I66" s="675">
        <f>H66-$K10</f>
        <v>100</v>
      </c>
      <c r="J66" s="675"/>
      <c r="K66" s="675"/>
      <c r="L66" s="675"/>
      <c r="M66" s="676"/>
      <c r="N66" s="2161"/>
      <c r="O66" s="2161"/>
      <c r="P66" s="2160"/>
      <c r="Q66" s="2153"/>
      <c r="R66" s="2140"/>
      <c r="S66" s="2140"/>
      <c r="T66" s="2140"/>
      <c r="U66" s="2140"/>
      <c r="V66" s="2140"/>
      <c r="W66" s="2140"/>
      <c r="X66" s="2140"/>
      <c r="Y66" s="2140"/>
      <c r="Z66" s="2140"/>
      <c r="AA66" s="2140"/>
      <c r="AB66" s="2140"/>
      <c r="AC66" s="2140"/>
    </row>
    <row r="67" spans="1:29" ht="15.75" thickTop="1">
      <c r="A67" s="665"/>
      <c r="B67" s="677" t="s">
        <v>532</v>
      </c>
      <c r="C67" s="678" t="str">
        <f>C68&amp;"（含）"&amp;"-"&amp;D68</f>
        <v>（含）-</v>
      </c>
      <c r="D67" s="678" t="str">
        <f t="shared" ref="D67:L67" si="17">D68&amp;"（含）"&amp;"-"&amp;E68</f>
        <v>（含）-</v>
      </c>
      <c r="E67" s="678" t="str">
        <f t="shared" si="17"/>
        <v>（含）-</v>
      </c>
      <c r="F67" s="678" t="str">
        <f t="shared" si="17"/>
        <v>（含）-</v>
      </c>
      <c r="G67" s="678" t="str">
        <f t="shared" si="17"/>
        <v>（含）-</v>
      </c>
      <c r="H67" s="678" t="str">
        <f t="shared" si="17"/>
        <v>（含）-</v>
      </c>
      <c r="I67" s="678" t="str">
        <f t="shared" si="17"/>
        <v>（含）-</v>
      </c>
      <c r="J67" s="678" t="str">
        <f t="shared" si="17"/>
        <v>（含）-</v>
      </c>
      <c r="K67" s="678" t="str">
        <f t="shared" si="17"/>
        <v>（含）-</v>
      </c>
      <c r="L67" s="678" t="str">
        <f t="shared" si="17"/>
        <v>（含）-</v>
      </c>
      <c r="M67" s="551" t="str">
        <f>M68&amp;"（含）"&amp;"-"&amp;P68</f>
        <v>（含）-</v>
      </c>
      <c r="N67" s="2161"/>
      <c r="O67" s="2161"/>
      <c r="P67" s="2160"/>
      <c r="Q67" s="2153"/>
      <c r="R67" s="2140"/>
      <c r="S67" s="2140"/>
      <c r="T67" s="2140"/>
      <c r="U67" s="2140"/>
      <c r="V67" s="2140"/>
      <c r="W67" s="2140"/>
      <c r="X67" s="2140"/>
      <c r="Y67" s="2140"/>
      <c r="Z67" s="2140"/>
      <c r="AA67" s="2140"/>
      <c r="AB67" s="2140"/>
      <c r="AC67" s="2140"/>
    </row>
    <row r="68" spans="1:29" ht="15">
      <c r="A68" s="665"/>
      <c r="B68" s="679"/>
      <c r="C68" s="537"/>
      <c r="D68" s="537"/>
      <c r="E68" s="537"/>
      <c r="F68" s="537"/>
      <c r="G68" s="537"/>
      <c r="H68" s="537"/>
      <c r="I68" s="537"/>
      <c r="J68" s="537"/>
      <c r="K68" s="680"/>
      <c r="L68" s="681"/>
      <c r="M68" s="682"/>
      <c r="N68" s="2159"/>
      <c r="O68" s="2159"/>
      <c r="P68" s="2160"/>
      <c r="Q68" s="2153"/>
      <c r="R68" s="2140"/>
      <c r="S68" s="2140"/>
      <c r="T68" s="2140"/>
      <c r="U68" s="2140"/>
      <c r="V68" s="2140"/>
      <c r="W68" s="2140"/>
      <c r="X68" s="2140"/>
      <c r="Y68" s="2140"/>
      <c r="Z68" s="2140"/>
      <c r="AA68" s="2140"/>
      <c r="AB68" s="2140"/>
      <c r="AC68" s="2140"/>
    </row>
    <row r="69" spans="1:29" ht="15.75" thickBot="1">
      <c r="A69" s="665"/>
      <c r="B69" s="666"/>
      <c r="C69" s="675">
        <v>100</v>
      </c>
      <c r="D69" s="675">
        <f t="shared" ref="D69:M69" si="18">C69-$K11</f>
        <v>100</v>
      </c>
      <c r="E69" s="675">
        <f t="shared" si="18"/>
        <v>100</v>
      </c>
      <c r="F69" s="675">
        <f t="shared" si="18"/>
        <v>100</v>
      </c>
      <c r="G69" s="675">
        <f t="shared" si="18"/>
        <v>100</v>
      </c>
      <c r="H69" s="675">
        <f t="shared" si="18"/>
        <v>100</v>
      </c>
      <c r="I69" s="675">
        <f t="shared" si="18"/>
        <v>100</v>
      </c>
      <c r="J69" s="675">
        <f t="shared" si="18"/>
        <v>100</v>
      </c>
      <c r="K69" s="675">
        <f t="shared" si="18"/>
        <v>100</v>
      </c>
      <c r="L69" s="675">
        <f t="shared" si="18"/>
        <v>100</v>
      </c>
      <c r="M69" s="676">
        <f t="shared" si="18"/>
        <v>100</v>
      </c>
      <c r="N69" s="2161"/>
      <c r="O69" s="2161"/>
      <c r="P69" s="2160"/>
      <c r="Q69" s="2153"/>
      <c r="R69" s="2140"/>
      <c r="S69" s="2140"/>
      <c r="T69" s="2140"/>
      <c r="U69" s="2140"/>
      <c r="V69" s="2140"/>
      <c r="W69" s="2140"/>
      <c r="X69" s="2140"/>
      <c r="Y69" s="2140"/>
      <c r="Z69" s="2140"/>
      <c r="AA69" s="2140"/>
      <c r="AB69" s="2140"/>
      <c r="AC69" s="2140"/>
    </row>
    <row r="70" spans="1:29" s="1334" customFormat="1" ht="15.75" thickTop="1">
      <c r="A70" s="683"/>
      <c r="B70" s="669">
        <f>B12</f>
        <v>111</v>
      </c>
      <c r="C70" s="684"/>
      <c r="D70" s="684"/>
      <c r="E70" s="684"/>
      <c r="F70" s="684"/>
      <c r="G70" s="684"/>
      <c r="H70" s="685"/>
      <c r="I70" s="685"/>
      <c r="J70" s="685"/>
      <c r="K70" s="685"/>
      <c r="L70" s="686"/>
      <c r="M70" s="687"/>
      <c r="N70" s="2162"/>
      <c r="O70" s="2162"/>
      <c r="P70" s="2163"/>
      <c r="Q70" s="2164"/>
      <c r="R70" s="2165"/>
      <c r="S70" s="2165"/>
      <c r="T70" s="2165"/>
      <c r="U70" s="2165"/>
      <c r="V70" s="2165"/>
      <c r="W70" s="2165"/>
      <c r="X70" s="2165"/>
      <c r="Y70" s="2165"/>
      <c r="Z70" s="2165"/>
      <c r="AA70" s="2165"/>
      <c r="AB70" s="2165"/>
      <c r="AC70" s="2165"/>
    </row>
    <row r="71" spans="1:29" s="1334" customFormat="1" ht="15.75" thickBot="1">
      <c r="A71" s="683"/>
      <c r="B71" s="674"/>
      <c r="C71" s="688"/>
      <c r="D71" s="667"/>
      <c r="E71" s="667"/>
      <c r="F71" s="667"/>
      <c r="G71" s="667"/>
      <c r="H71" s="667"/>
      <c r="I71" s="667"/>
      <c r="J71" s="667"/>
      <c r="K71" s="667"/>
      <c r="L71" s="667"/>
      <c r="M71" s="668"/>
      <c r="N71" s="2161"/>
      <c r="O71" s="2161"/>
      <c r="P71" s="2163"/>
      <c r="Q71" s="2164"/>
      <c r="R71" s="2165"/>
      <c r="S71" s="2165"/>
      <c r="T71" s="2165"/>
      <c r="U71" s="2165"/>
      <c r="V71" s="2165"/>
      <c r="W71" s="2165"/>
      <c r="X71" s="2165"/>
      <c r="Y71" s="2165"/>
      <c r="Z71" s="2165"/>
      <c r="AA71" s="2165"/>
      <c r="AB71" s="2165"/>
      <c r="AC71" s="2165"/>
    </row>
    <row r="72" spans="1:29" s="1334" customFormat="1" ht="15.75" thickTop="1">
      <c r="A72" s="683"/>
      <c r="B72" s="669">
        <f>B13</f>
        <v>111</v>
      </c>
      <c r="C72" s="684"/>
      <c r="D72" s="684"/>
      <c r="E72" s="684"/>
      <c r="F72" s="684"/>
      <c r="G72" s="684"/>
      <c r="H72" s="685"/>
      <c r="I72" s="685"/>
      <c r="J72" s="685"/>
      <c r="K72" s="685"/>
      <c r="L72" s="686"/>
      <c r="M72" s="687"/>
      <c r="N72" s="2162"/>
      <c r="O72" s="2162"/>
      <c r="P72" s="2166"/>
      <c r="Q72" s="2167"/>
      <c r="R72" s="2165"/>
      <c r="S72" s="2165"/>
      <c r="T72" s="2165"/>
      <c r="U72" s="2165"/>
      <c r="V72" s="2165"/>
      <c r="W72" s="2165"/>
      <c r="X72" s="2165"/>
      <c r="Y72" s="2165"/>
      <c r="Z72" s="2165"/>
      <c r="AA72" s="2165"/>
      <c r="AB72" s="2165"/>
      <c r="AC72" s="2165"/>
    </row>
    <row r="73" spans="1:29" s="1334" customFormat="1" ht="15.75" thickBot="1">
      <c r="A73" s="683"/>
      <c r="B73" s="674"/>
      <c r="C73" s="688"/>
      <c r="D73" s="667"/>
      <c r="E73" s="667"/>
      <c r="F73" s="667"/>
      <c r="G73" s="688"/>
      <c r="H73" s="689"/>
      <c r="I73" s="689"/>
      <c r="J73" s="689"/>
      <c r="K73" s="689"/>
      <c r="L73" s="689"/>
      <c r="M73" s="690"/>
      <c r="N73" s="2162"/>
      <c r="O73" s="2162"/>
      <c r="P73" s="2163"/>
      <c r="Q73" s="2164"/>
      <c r="R73" s="2165"/>
      <c r="S73" s="2165"/>
      <c r="T73" s="2165"/>
      <c r="U73" s="2165"/>
      <c r="V73" s="2165"/>
      <c r="W73" s="2165"/>
      <c r="X73" s="2165"/>
      <c r="Y73" s="2165"/>
      <c r="Z73" s="2165"/>
      <c r="AA73" s="2165"/>
      <c r="AB73" s="2165"/>
      <c r="AC73" s="2165"/>
    </row>
    <row r="74" spans="1:29" s="1334" customFormat="1" ht="15.75" thickTop="1">
      <c r="A74" s="683"/>
      <c r="B74" s="677">
        <f>B14</f>
        <v>111</v>
      </c>
      <c r="C74" s="684"/>
      <c r="D74" s="684"/>
      <c r="E74" s="684"/>
      <c r="F74" s="684"/>
      <c r="G74" s="657"/>
      <c r="H74" s="691"/>
      <c r="I74" s="691"/>
      <c r="J74" s="691"/>
      <c r="K74" s="691"/>
      <c r="L74" s="692"/>
      <c r="M74" s="693"/>
      <c r="N74" s="2162"/>
      <c r="O74" s="2162"/>
      <c r="P74" s="2168"/>
      <c r="Q74" s="2164"/>
      <c r="R74" s="2165"/>
      <c r="S74" s="2165"/>
      <c r="T74" s="2165"/>
      <c r="U74" s="2165"/>
      <c r="V74" s="2165"/>
      <c r="W74" s="2165"/>
      <c r="X74" s="2165"/>
      <c r="Y74" s="2165"/>
      <c r="Z74" s="2165"/>
      <c r="AA74" s="2165"/>
      <c r="AB74" s="2165"/>
      <c r="AC74" s="2165"/>
    </row>
    <row r="75" spans="1:29" s="1334" customFormat="1" ht="15.75" thickBot="1">
      <c r="A75" s="694"/>
      <c r="B75" s="695"/>
      <c r="C75" s="696"/>
      <c r="D75" s="696"/>
      <c r="E75" s="696"/>
      <c r="F75" s="696"/>
      <c r="G75" s="696"/>
      <c r="H75" s="697"/>
      <c r="I75" s="697"/>
      <c r="J75" s="697"/>
      <c r="K75" s="697"/>
      <c r="L75" s="697"/>
      <c r="M75" s="698"/>
      <c r="N75" s="2162"/>
      <c r="O75" s="2162"/>
      <c r="P75" s="2163"/>
      <c r="Q75" s="2164"/>
      <c r="R75" s="2165"/>
      <c r="S75" s="2165"/>
      <c r="T75" s="2165"/>
      <c r="U75" s="2165"/>
      <c r="V75" s="2165"/>
      <c r="W75" s="2165"/>
      <c r="X75" s="2165"/>
      <c r="Y75" s="2165"/>
      <c r="Z75" s="2165"/>
      <c r="AA75" s="2165"/>
      <c r="AB75" s="2165"/>
      <c r="AC75" s="2165"/>
    </row>
    <row r="76" spans="1:29">
      <c r="A76" s="660" t="s">
        <v>533</v>
      </c>
      <c r="B76" s="661" t="s">
        <v>572</v>
      </c>
      <c r="C76" s="699" t="s">
        <v>573</v>
      </c>
      <c r="D76" s="699" t="s">
        <v>574</v>
      </c>
      <c r="E76" s="699" t="s">
        <v>575</v>
      </c>
      <c r="F76" s="699" t="s">
        <v>576</v>
      </c>
      <c r="G76" s="699" t="s">
        <v>577</v>
      </c>
      <c r="H76" s="700"/>
      <c r="I76" s="700"/>
      <c r="J76" s="700"/>
      <c r="K76" s="701"/>
      <c r="L76" s="702"/>
      <c r="M76" s="703"/>
      <c r="N76" s="2159"/>
      <c r="O76" s="2159"/>
      <c r="P76" s="2169"/>
      <c r="Q76" s="2153"/>
      <c r="R76" s="2140"/>
      <c r="S76" s="2140"/>
      <c r="T76" s="2140"/>
      <c r="U76" s="2140"/>
      <c r="V76" s="2140"/>
      <c r="W76" s="2140"/>
      <c r="X76" s="2140"/>
      <c r="Y76" s="2140"/>
      <c r="Z76" s="2140"/>
      <c r="AA76" s="2140"/>
      <c r="AB76" s="2140"/>
      <c r="AC76" s="2140"/>
    </row>
    <row r="77" spans="1:29" ht="15.75" thickBot="1">
      <c r="A77" s="665"/>
      <c r="B77" s="674"/>
      <c r="C77" s="675">
        <v>100</v>
      </c>
      <c r="D77" s="675">
        <f>C77-$K15</f>
        <v>100</v>
      </c>
      <c r="E77" s="675">
        <f>D77-$K15</f>
        <v>100</v>
      </c>
      <c r="F77" s="675">
        <f>E77-$K15</f>
        <v>100</v>
      </c>
      <c r="G77" s="675">
        <f>F77-$K15</f>
        <v>100</v>
      </c>
      <c r="H77" s="675"/>
      <c r="I77" s="675"/>
      <c r="J77" s="675"/>
      <c r="K77" s="675"/>
      <c r="L77" s="675"/>
      <c r="M77" s="676"/>
      <c r="N77" s="2161"/>
      <c r="O77" s="2161"/>
      <c r="P77" s="2160"/>
      <c r="Q77" s="2153"/>
      <c r="R77" s="2140"/>
      <c r="S77" s="2140"/>
      <c r="T77" s="2140"/>
      <c r="U77" s="2140"/>
      <c r="V77" s="2140"/>
      <c r="W77" s="2140"/>
      <c r="X77" s="2140"/>
      <c r="Y77" s="2140"/>
      <c r="Z77" s="2140"/>
      <c r="AA77" s="2140"/>
      <c r="AB77" s="2140"/>
      <c r="AC77" s="2140"/>
    </row>
    <row r="78" spans="1:29" ht="15.75" thickTop="1">
      <c r="A78" s="665"/>
      <c r="B78" s="669" t="s">
        <v>580</v>
      </c>
      <c r="C78" s="704" t="s">
        <v>573</v>
      </c>
      <c r="D78" s="704" t="s">
        <v>574</v>
      </c>
      <c r="E78" s="704" t="s">
        <v>575</v>
      </c>
      <c r="F78" s="704" t="s">
        <v>576</v>
      </c>
      <c r="G78" s="704" t="s">
        <v>577</v>
      </c>
      <c r="H78" s="670"/>
      <c r="I78" s="670"/>
      <c r="J78" s="670"/>
      <c r="K78" s="671"/>
      <c r="L78" s="672"/>
      <c r="M78" s="673"/>
      <c r="N78" s="2159"/>
      <c r="O78" s="2159"/>
      <c r="P78" s="2160"/>
      <c r="Q78" s="2153"/>
      <c r="R78" s="2140"/>
      <c r="S78" s="2140"/>
      <c r="T78" s="2140"/>
      <c r="U78" s="2140"/>
      <c r="V78" s="2140"/>
      <c r="W78" s="2140"/>
      <c r="X78" s="2140"/>
      <c r="Y78" s="2140"/>
      <c r="Z78" s="2140"/>
      <c r="AA78" s="2140"/>
      <c r="AB78" s="2140"/>
      <c r="AC78" s="2140"/>
    </row>
    <row r="79" spans="1:29" ht="15.75" thickBot="1">
      <c r="A79" s="665"/>
      <c r="B79" s="674"/>
      <c r="C79" s="675">
        <v>100</v>
      </c>
      <c r="D79" s="675">
        <f>C79-$K17</f>
        <v>100</v>
      </c>
      <c r="E79" s="675">
        <f>D79-$K17</f>
        <v>100</v>
      </c>
      <c r="F79" s="675">
        <f>E79-$K17</f>
        <v>100</v>
      </c>
      <c r="G79" s="675">
        <f>F79-$K17</f>
        <v>100</v>
      </c>
      <c r="H79" s="675"/>
      <c r="I79" s="675"/>
      <c r="J79" s="675"/>
      <c r="K79" s="675"/>
      <c r="L79" s="675"/>
      <c r="M79" s="676"/>
      <c r="N79" s="2161"/>
      <c r="O79" s="2161"/>
      <c r="P79" s="2160"/>
      <c r="Q79" s="2153"/>
      <c r="R79" s="2140"/>
      <c r="S79" s="2140"/>
      <c r="T79" s="2140"/>
      <c r="U79" s="2140"/>
      <c r="V79" s="2140"/>
      <c r="W79" s="2140"/>
      <c r="X79" s="2140"/>
      <c r="Y79" s="2140"/>
      <c r="Z79" s="2140"/>
      <c r="AA79" s="2140"/>
      <c r="AB79" s="2140"/>
      <c r="AC79" s="2140"/>
    </row>
    <row r="80" spans="1:29" ht="15.75" thickTop="1">
      <c r="A80" s="665"/>
      <c r="B80" s="1891" t="s">
        <v>2554</v>
      </c>
      <c r="C80" s="704" t="s">
        <v>573</v>
      </c>
      <c r="D80" s="704" t="s">
        <v>574</v>
      </c>
      <c r="E80" s="704" t="s">
        <v>575</v>
      </c>
      <c r="F80" s="704" t="s">
        <v>576</v>
      </c>
      <c r="G80" s="704" t="s">
        <v>577</v>
      </c>
      <c r="H80" s="670"/>
      <c r="I80" s="670"/>
      <c r="J80" s="670"/>
      <c r="K80" s="671"/>
      <c r="L80" s="672"/>
      <c r="M80" s="673"/>
      <c r="N80" s="2159"/>
      <c r="O80" s="2159"/>
      <c r="P80" s="2160"/>
      <c r="Q80" s="2153"/>
      <c r="R80" s="2140"/>
      <c r="S80" s="2140"/>
      <c r="T80" s="2140"/>
      <c r="U80" s="2140"/>
      <c r="V80" s="2140"/>
      <c r="W80" s="2140"/>
      <c r="X80" s="2140"/>
      <c r="Y80" s="2140"/>
      <c r="Z80" s="2140"/>
      <c r="AA80" s="2140"/>
      <c r="AB80" s="2140"/>
      <c r="AC80" s="2140"/>
    </row>
    <row r="81" spans="1:29" ht="15.75" thickBot="1">
      <c r="A81" s="665"/>
      <c r="B81" s="674"/>
      <c r="C81" s="675">
        <v>100</v>
      </c>
      <c r="D81" s="675">
        <f>C81-$K19</f>
        <v>100</v>
      </c>
      <c r="E81" s="675">
        <f>D81-$K19</f>
        <v>100</v>
      </c>
      <c r="F81" s="675">
        <f>E81-$K19</f>
        <v>100</v>
      </c>
      <c r="G81" s="675">
        <f>F81-$K19</f>
        <v>100</v>
      </c>
      <c r="H81" s="675"/>
      <c r="I81" s="675"/>
      <c r="J81" s="675"/>
      <c r="K81" s="675"/>
      <c r="L81" s="675"/>
      <c r="M81" s="676"/>
      <c r="N81" s="2161"/>
      <c r="O81" s="2161"/>
      <c r="P81" s="2160"/>
      <c r="Q81" s="2153"/>
      <c r="R81" s="2140"/>
      <c r="S81" s="2140"/>
      <c r="T81" s="2140"/>
      <c r="U81" s="2140"/>
      <c r="V81" s="2140"/>
      <c r="W81" s="2140"/>
      <c r="X81" s="2140"/>
      <c r="Y81" s="2140"/>
      <c r="Z81" s="2140"/>
      <c r="AA81" s="2140"/>
      <c r="AB81" s="2140"/>
      <c r="AC81" s="2140"/>
    </row>
    <row r="82" spans="1:29" ht="15.75" thickTop="1">
      <c r="A82" s="665"/>
      <c r="B82" s="2616" t="s">
        <v>2555</v>
      </c>
      <c r="C82" s="2617" t="s">
        <v>2556</v>
      </c>
      <c r="D82" s="2617" t="s">
        <v>2557</v>
      </c>
      <c r="E82" s="2617" t="s">
        <v>2558</v>
      </c>
      <c r="F82" s="2617" t="s">
        <v>2559</v>
      </c>
      <c r="G82" s="2617" t="s">
        <v>2560</v>
      </c>
      <c r="H82" s="670"/>
      <c r="I82" s="670"/>
      <c r="J82" s="670"/>
      <c r="K82" s="670"/>
      <c r="L82" s="670"/>
      <c r="M82" s="2620"/>
      <c r="N82" s="2161"/>
      <c r="O82" s="2161"/>
      <c r="P82" s="2160"/>
      <c r="Q82" s="2153"/>
      <c r="R82" s="2140"/>
      <c r="S82" s="2140"/>
      <c r="T82" s="2140"/>
      <c r="U82" s="2140"/>
      <c r="V82" s="2140"/>
      <c r="W82" s="2140"/>
      <c r="X82" s="2140"/>
      <c r="Y82" s="2140"/>
      <c r="Z82" s="2140"/>
      <c r="AA82" s="2140"/>
      <c r="AB82" s="2140"/>
      <c r="AC82" s="2140"/>
    </row>
    <row r="83" spans="1:29" ht="15.75" thickBot="1">
      <c r="A83" s="665"/>
      <c r="B83" s="677"/>
      <c r="C83" s="675">
        <v>100</v>
      </c>
      <c r="D83" s="675">
        <f>C83-$K21</f>
        <v>100</v>
      </c>
      <c r="E83" s="675">
        <f>D83-$K21</f>
        <v>100</v>
      </c>
      <c r="F83" s="675">
        <f>E83-$K21</f>
        <v>100</v>
      </c>
      <c r="G83" s="675">
        <f>F83-$K21</f>
        <v>100</v>
      </c>
      <c r="H83" s="930"/>
      <c r="I83" s="930"/>
      <c r="J83" s="930"/>
      <c r="K83" s="930"/>
      <c r="L83" s="930"/>
      <c r="M83" s="555"/>
      <c r="N83" s="2161"/>
      <c r="O83" s="2161"/>
      <c r="P83" s="2160"/>
      <c r="Q83" s="2153"/>
      <c r="R83" s="2140"/>
      <c r="S83" s="2140"/>
      <c r="T83" s="2140"/>
      <c r="U83" s="2140"/>
      <c r="V83" s="2140"/>
      <c r="W83" s="2140"/>
      <c r="X83" s="2140"/>
      <c r="Y83" s="2140"/>
      <c r="Z83" s="2140"/>
      <c r="AA83" s="2140"/>
      <c r="AB83" s="2140"/>
      <c r="AC83" s="2140"/>
    </row>
    <row r="84" spans="1:29" ht="15.75" thickTop="1">
      <c r="A84" s="665"/>
      <c r="B84" s="669" t="s">
        <v>737</v>
      </c>
      <c r="C84" s="704" t="s">
        <v>573</v>
      </c>
      <c r="D84" s="704" t="s">
        <v>574</v>
      </c>
      <c r="E84" s="704" t="s">
        <v>575</v>
      </c>
      <c r="F84" s="704" t="s">
        <v>576</v>
      </c>
      <c r="G84" s="704" t="s">
        <v>577</v>
      </c>
      <c r="H84" s="670"/>
      <c r="I84" s="670"/>
      <c r="J84" s="670"/>
      <c r="K84" s="671"/>
      <c r="L84" s="672"/>
      <c r="M84" s="673"/>
      <c r="N84" s="2159"/>
      <c r="O84" s="2159"/>
      <c r="P84" s="2160"/>
      <c r="Q84" s="2153"/>
      <c r="R84" s="2140"/>
      <c r="S84" s="2140"/>
      <c r="T84" s="2140"/>
      <c r="U84" s="2140"/>
      <c r="V84" s="2140"/>
      <c r="W84" s="2140"/>
      <c r="X84" s="2140"/>
      <c r="Y84" s="2140"/>
      <c r="Z84" s="2140"/>
      <c r="AA84" s="2140"/>
      <c r="AB84" s="2140"/>
      <c r="AC84" s="2140"/>
    </row>
    <row r="85" spans="1:29" ht="15.75" thickBot="1">
      <c r="A85" s="665"/>
      <c r="B85" s="674"/>
      <c r="C85" s="675">
        <v>100</v>
      </c>
      <c r="D85" s="675">
        <f>C85-$K23</f>
        <v>100</v>
      </c>
      <c r="E85" s="675">
        <f>D85-$K23</f>
        <v>100</v>
      </c>
      <c r="F85" s="675">
        <f>E85-$K23</f>
        <v>100</v>
      </c>
      <c r="G85" s="675">
        <f>F85-$K23</f>
        <v>100</v>
      </c>
      <c r="H85" s="675"/>
      <c r="I85" s="675"/>
      <c r="J85" s="675"/>
      <c r="K85" s="675"/>
      <c r="L85" s="675"/>
      <c r="M85" s="676"/>
      <c r="N85" s="2161"/>
      <c r="O85" s="2161"/>
      <c r="P85" s="2160"/>
      <c r="Q85" s="2153"/>
      <c r="R85" s="2140"/>
      <c r="S85" s="2140"/>
      <c r="T85" s="2140"/>
      <c r="U85" s="2140"/>
      <c r="V85" s="2140"/>
      <c r="W85" s="2140"/>
      <c r="X85" s="2140"/>
      <c r="Y85" s="2140"/>
      <c r="Z85" s="2140"/>
      <c r="AA85" s="2140"/>
      <c r="AB85" s="2140"/>
      <c r="AC85" s="2140"/>
    </row>
    <row r="86" spans="1:29" s="1215" customFormat="1" ht="15.75" thickTop="1">
      <c r="A86" s="705"/>
      <c r="B86" s="669" t="s">
        <v>764</v>
      </c>
      <c r="C86" s="684"/>
      <c r="D86" s="684"/>
      <c r="E86" s="684"/>
      <c r="F86" s="684"/>
      <c r="G86" s="684"/>
      <c r="H86" s="684"/>
      <c r="I86" s="684"/>
      <c r="J86" s="684"/>
      <c r="K86" s="684"/>
      <c r="L86" s="885"/>
      <c r="M86" s="886"/>
      <c r="N86" s="2157"/>
      <c r="O86" s="2157"/>
      <c r="P86" s="2160"/>
      <c r="Q86" s="2153"/>
      <c r="R86" s="1988"/>
      <c r="S86" s="1988"/>
      <c r="T86" s="1988"/>
      <c r="U86" s="1988"/>
      <c r="V86" s="1988"/>
      <c r="W86" s="1988"/>
      <c r="X86" s="1988"/>
      <c r="Y86" s="1988"/>
      <c r="Z86" s="1988"/>
      <c r="AA86" s="1988"/>
      <c r="AB86" s="1988"/>
      <c r="AC86" s="1988"/>
    </row>
    <row r="87" spans="1:29" s="1215" customFormat="1" ht="15.75" thickBot="1">
      <c r="A87" s="705"/>
      <c r="B87" s="674"/>
      <c r="C87" s="708">
        <v>100</v>
      </c>
      <c r="D87" s="675">
        <f t="shared" ref="D87:M87" si="19">C87-$K25</f>
        <v>100</v>
      </c>
      <c r="E87" s="675">
        <f t="shared" si="19"/>
        <v>100</v>
      </c>
      <c r="F87" s="675">
        <f t="shared" si="19"/>
        <v>100</v>
      </c>
      <c r="G87" s="675">
        <f t="shared" si="19"/>
        <v>100</v>
      </c>
      <c r="H87" s="675">
        <f t="shared" si="19"/>
        <v>100</v>
      </c>
      <c r="I87" s="675">
        <f t="shared" si="19"/>
        <v>100</v>
      </c>
      <c r="J87" s="675">
        <f t="shared" si="19"/>
        <v>100</v>
      </c>
      <c r="K87" s="675">
        <f t="shared" si="19"/>
        <v>100</v>
      </c>
      <c r="L87" s="675">
        <f t="shared" si="19"/>
        <v>100</v>
      </c>
      <c r="M87" s="675">
        <f t="shared" si="19"/>
        <v>100</v>
      </c>
      <c r="N87" s="2161"/>
      <c r="O87" s="2161"/>
      <c r="P87" s="2160"/>
      <c r="Q87" s="2153"/>
      <c r="R87" s="1988"/>
      <c r="S87" s="1988"/>
      <c r="T87" s="1988"/>
      <c r="U87" s="1988"/>
      <c r="V87" s="1988"/>
      <c r="W87" s="1988"/>
      <c r="X87" s="1988"/>
      <c r="Y87" s="1988"/>
      <c r="Z87" s="1988"/>
      <c r="AA87" s="1988"/>
      <c r="AB87" s="1988"/>
      <c r="AC87" s="1988"/>
    </row>
    <row r="88" spans="1:29" s="1215" customFormat="1" ht="15.75" thickTop="1">
      <c r="A88" s="705"/>
      <c r="B88" s="669" t="str">
        <f>B26</f>
        <v>平面位置/可视性</v>
      </c>
      <c r="C88" s="684"/>
      <c r="D88" s="684"/>
      <c r="E88" s="684"/>
      <c r="F88" s="887"/>
      <c r="G88" s="684"/>
      <c r="H88" s="684"/>
      <c r="I88" s="684"/>
      <c r="J88" s="684"/>
      <c r="K88" s="684"/>
      <c r="L88" s="684"/>
      <c r="M88" s="886"/>
      <c r="N88" s="2157"/>
      <c r="O88" s="2157"/>
      <c r="P88" s="2160"/>
      <c r="Q88" s="2153"/>
      <c r="R88" s="1988"/>
      <c r="S88" s="1988"/>
      <c r="T88" s="1988"/>
      <c r="U88" s="1988"/>
      <c r="V88" s="1988"/>
      <c r="W88" s="1988"/>
      <c r="X88" s="1988"/>
      <c r="Y88" s="1988"/>
      <c r="Z88" s="1988"/>
      <c r="AA88" s="1988"/>
      <c r="AB88" s="1988"/>
      <c r="AC88" s="1988"/>
    </row>
    <row r="89" spans="1:29" s="1215" customFormat="1" ht="15.75" thickBot="1">
      <c r="A89" s="705"/>
      <c r="B89" s="674"/>
      <c r="C89" s="688"/>
      <c r="D89" s="667"/>
      <c r="E89" s="667"/>
      <c r="F89" s="667"/>
      <c r="G89" s="667"/>
      <c r="H89" s="667"/>
      <c r="I89" s="667"/>
      <c r="J89" s="667"/>
      <c r="K89" s="667"/>
      <c r="L89" s="667"/>
      <c r="M89" s="667"/>
      <c r="N89" s="2161"/>
      <c r="O89" s="2161"/>
      <c r="P89" s="2160"/>
      <c r="Q89" s="2153"/>
      <c r="R89" s="1988"/>
      <c r="S89" s="1988"/>
      <c r="T89" s="1988"/>
      <c r="U89" s="1988"/>
      <c r="V89" s="1988"/>
      <c r="W89" s="1988"/>
      <c r="X89" s="1988"/>
      <c r="Y89" s="1988"/>
      <c r="Z89" s="1988"/>
      <c r="AA89" s="1988"/>
      <c r="AB89" s="1988"/>
      <c r="AC89" s="1988"/>
    </row>
    <row r="90" spans="1:29" s="1334" customFormat="1" ht="15.75" thickTop="1">
      <c r="A90" s="683"/>
      <c r="B90" s="669" t="str">
        <f>B27</f>
        <v>人流量</v>
      </c>
      <c r="C90" s="684"/>
      <c r="D90" s="684"/>
      <c r="E90" s="684"/>
      <c r="F90" s="684"/>
      <c r="G90" s="684"/>
      <c r="H90" s="685"/>
      <c r="I90" s="685"/>
      <c r="J90" s="685"/>
      <c r="K90" s="685"/>
      <c r="L90" s="686"/>
      <c r="M90" s="687"/>
      <c r="N90" s="2162"/>
      <c r="O90" s="2162"/>
      <c r="P90" s="2163"/>
      <c r="Q90" s="2164"/>
      <c r="R90" s="2165"/>
      <c r="S90" s="2165"/>
      <c r="T90" s="2165"/>
      <c r="U90" s="2165"/>
      <c r="V90" s="2165"/>
      <c r="W90" s="2165"/>
      <c r="X90" s="2165"/>
      <c r="Y90" s="2165"/>
      <c r="Z90" s="2165"/>
      <c r="AA90" s="2165"/>
      <c r="AB90" s="2165"/>
      <c r="AC90" s="2165"/>
    </row>
    <row r="91" spans="1:29" s="1334" customFormat="1" ht="15.75" thickBot="1">
      <c r="A91" s="683"/>
      <c r="B91" s="674"/>
      <c r="C91" s="708">
        <v>100</v>
      </c>
      <c r="D91" s="675">
        <f>C91-$K27</f>
        <v>100</v>
      </c>
      <c r="E91" s="675">
        <f t="shared" ref="E91:M91" si="20">D91-$K27</f>
        <v>100</v>
      </c>
      <c r="F91" s="675">
        <f t="shared" si="20"/>
        <v>100</v>
      </c>
      <c r="G91" s="675">
        <f t="shared" si="20"/>
        <v>100</v>
      </c>
      <c r="H91" s="675">
        <f t="shared" si="20"/>
        <v>100</v>
      </c>
      <c r="I91" s="675">
        <f t="shared" si="20"/>
        <v>100</v>
      </c>
      <c r="J91" s="675">
        <f t="shared" si="20"/>
        <v>100</v>
      </c>
      <c r="K91" s="675">
        <f t="shared" si="20"/>
        <v>100</v>
      </c>
      <c r="L91" s="675">
        <f t="shared" si="20"/>
        <v>100</v>
      </c>
      <c r="M91" s="675">
        <f t="shared" si="20"/>
        <v>100</v>
      </c>
      <c r="N91" s="2162"/>
      <c r="O91" s="2162"/>
      <c r="P91" s="2163"/>
      <c r="Q91" s="2164"/>
      <c r="R91" s="2165"/>
      <c r="S91" s="2165"/>
      <c r="T91" s="2165"/>
      <c r="U91" s="2165"/>
      <c r="V91" s="2165"/>
      <c r="W91" s="2165"/>
      <c r="X91" s="2165"/>
      <c r="Y91" s="2165"/>
      <c r="Z91" s="2165"/>
      <c r="AA91" s="2165"/>
      <c r="AB91" s="2165"/>
      <c r="AC91" s="2165"/>
    </row>
    <row r="92" spans="1:29" ht="15.75" thickTop="1">
      <c r="A92" s="665"/>
      <c r="B92" s="669" t="str">
        <f>B28</f>
        <v>楼层</v>
      </c>
      <c r="C92" s="684"/>
      <c r="D92" s="684"/>
      <c r="E92" s="684"/>
      <c r="F92" s="684"/>
      <c r="G92" s="684"/>
      <c r="H92" s="684"/>
      <c r="I92" s="684"/>
      <c r="J92" s="684"/>
      <c r="K92" s="684"/>
      <c r="L92" s="885"/>
      <c r="M92" s="886"/>
      <c r="N92" s="2159"/>
      <c r="O92" s="2159"/>
      <c r="P92" s="2160"/>
      <c r="Q92" s="2153"/>
      <c r="R92" s="2140"/>
      <c r="S92" s="2140"/>
      <c r="T92" s="2140"/>
      <c r="U92" s="2140"/>
      <c r="V92" s="2140"/>
      <c r="W92" s="2140"/>
      <c r="X92" s="2140"/>
      <c r="Y92" s="2140"/>
      <c r="Z92" s="2140"/>
      <c r="AA92" s="2140"/>
      <c r="AB92" s="2140"/>
      <c r="AC92" s="2140"/>
    </row>
    <row r="93" spans="1:29" ht="15.75" thickBot="1">
      <c r="A93" s="665"/>
      <c r="B93" s="674"/>
      <c r="C93" s="667"/>
      <c r="D93" s="667"/>
      <c r="E93" s="667"/>
      <c r="F93" s="667"/>
      <c r="G93" s="667"/>
      <c r="H93" s="667"/>
      <c r="I93" s="667"/>
      <c r="J93" s="667"/>
      <c r="K93" s="667"/>
      <c r="L93" s="667"/>
      <c r="M93" s="668"/>
      <c r="N93" s="2161"/>
      <c r="O93" s="2161"/>
      <c r="P93" s="2160"/>
      <c r="Q93" s="2153"/>
      <c r="R93" s="2140"/>
      <c r="S93" s="2140"/>
      <c r="T93" s="2140"/>
      <c r="U93" s="2140"/>
      <c r="V93" s="2140"/>
      <c r="W93" s="2140"/>
      <c r="X93" s="2140"/>
      <c r="Y93" s="2140"/>
      <c r="Z93" s="2140"/>
      <c r="AA93" s="2140"/>
      <c r="AB93" s="2140"/>
      <c r="AC93" s="2140"/>
    </row>
    <row r="94" spans="1:29" ht="15.75" thickTop="1">
      <c r="A94" s="665"/>
      <c r="B94" s="669">
        <f>B29</f>
        <v>111</v>
      </c>
      <c r="C94" s="684"/>
      <c r="D94" s="684"/>
      <c r="E94" s="684"/>
      <c r="F94" s="684"/>
      <c r="G94" s="714"/>
      <c r="H94" s="714"/>
      <c r="I94" s="714"/>
      <c r="J94" s="714"/>
      <c r="K94" s="715"/>
      <c r="L94" s="716"/>
      <c r="M94" s="717"/>
      <c r="N94" s="2159"/>
      <c r="O94" s="2159"/>
      <c r="P94" s="2160"/>
      <c r="Q94" s="2153"/>
      <c r="R94" s="2140"/>
      <c r="S94" s="2140"/>
      <c r="T94" s="2140"/>
      <c r="U94" s="2140"/>
      <c r="V94" s="2140"/>
      <c r="W94" s="2140"/>
      <c r="X94" s="2140"/>
      <c r="Y94" s="2140"/>
      <c r="Z94" s="2140"/>
      <c r="AA94" s="2140"/>
      <c r="AB94" s="2140"/>
      <c r="AC94" s="2140"/>
    </row>
    <row r="95" spans="1:29" ht="15.75" thickBot="1">
      <c r="A95" s="665"/>
      <c r="B95" s="674"/>
      <c r="C95" s="688"/>
      <c r="D95" s="667"/>
      <c r="E95" s="667"/>
      <c r="F95" s="667"/>
      <c r="G95" s="667"/>
      <c r="H95" s="667"/>
      <c r="I95" s="667"/>
      <c r="J95" s="667"/>
      <c r="K95" s="667"/>
      <c r="L95" s="667"/>
      <c r="M95" s="668"/>
      <c r="N95" s="2161"/>
      <c r="O95" s="2161"/>
      <c r="P95" s="2160"/>
      <c r="Q95" s="2153"/>
      <c r="R95" s="2140"/>
      <c r="S95" s="2140"/>
      <c r="T95" s="2140"/>
      <c r="U95" s="2140"/>
      <c r="V95" s="2140"/>
      <c r="W95" s="2140"/>
      <c r="X95" s="2140"/>
      <c r="Y95" s="2140"/>
      <c r="Z95" s="2140"/>
      <c r="AA95" s="2140"/>
      <c r="AB95" s="2140"/>
      <c r="AC95" s="2140"/>
    </row>
    <row r="96" spans="1:29" ht="15.75" thickTop="1">
      <c r="A96" s="665"/>
      <c r="B96" s="669">
        <f>B30</f>
        <v>111</v>
      </c>
      <c r="C96" s="684"/>
      <c r="D96" s="684"/>
      <c r="E96" s="684"/>
      <c r="F96" s="684"/>
      <c r="G96" s="714"/>
      <c r="H96" s="714"/>
      <c r="I96" s="714"/>
      <c r="J96" s="714"/>
      <c r="K96" s="715"/>
      <c r="L96" s="716"/>
      <c r="M96" s="717"/>
      <c r="N96" s="2159"/>
      <c r="O96" s="2159"/>
      <c r="P96" s="2160"/>
      <c r="Q96" s="2153"/>
      <c r="R96" s="2140"/>
      <c r="S96" s="2140"/>
      <c r="T96" s="2140"/>
      <c r="U96" s="2140"/>
      <c r="V96" s="2140"/>
      <c r="W96" s="2140"/>
      <c r="X96" s="2140"/>
      <c r="Y96" s="2140"/>
      <c r="Z96" s="2140"/>
      <c r="AA96" s="2140"/>
      <c r="AB96" s="2140"/>
      <c r="AC96" s="2140"/>
    </row>
    <row r="97" spans="1:29" ht="15.75" thickBot="1">
      <c r="A97" s="665"/>
      <c r="B97" s="674"/>
      <c r="C97" s="688"/>
      <c r="D97" s="667"/>
      <c r="E97" s="667"/>
      <c r="F97" s="667"/>
      <c r="G97" s="667"/>
      <c r="H97" s="667"/>
      <c r="I97" s="667"/>
      <c r="J97" s="667"/>
      <c r="K97" s="667"/>
      <c r="L97" s="667"/>
      <c r="M97" s="668"/>
      <c r="N97" s="2161"/>
      <c r="O97" s="2161"/>
      <c r="P97" s="2160"/>
      <c r="Q97" s="2153"/>
      <c r="R97" s="2140"/>
      <c r="S97" s="2140"/>
      <c r="T97" s="2140"/>
      <c r="U97" s="2140"/>
      <c r="V97" s="2140"/>
      <c r="W97" s="2140"/>
      <c r="X97" s="2140"/>
      <c r="Y97" s="2140"/>
      <c r="Z97" s="2140"/>
      <c r="AA97" s="2140"/>
      <c r="AB97" s="2140"/>
      <c r="AC97" s="2140"/>
    </row>
    <row r="98" spans="1:29" ht="15.75" thickTop="1">
      <c r="A98" s="665"/>
      <c r="B98" s="677">
        <f>B31</f>
        <v>111</v>
      </c>
      <c r="C98" s="684"/>
      <c r="D98" s="684"/>
      <c r="E98" s="684"/>
      <c r="F98" s="684"/>
      <c r="G98" s="718"/>
      <c r="H98" s="718"/>
      <c r="I98" s="718"/>
      <c r="J98" s="718"/>
      <c r="K98" s="719"/>
      <c r="L98" s="720"/>
      <c r="M98" s="721"/>
      <c r="N98" s="2159"/>
      <c r="O98" s="2159"/>
      <c r="P98" s="2160"/>
      <c r="Q98" s="2153"/>
      <c r="R98" s="2140"/>
      <c r="S98" s="2140"/>
      <c r="T98" s="2140"/>
      <c r="U98" s="2140"/>
      <c r="V98" s="2140"/>
      <c r="W98" s="2140"/>
      <c r="X98" s="2140"/>
      <c r="Y98" s="2140"/>
      <c r="Z98" s="2140"/>
      <c r="AA98" s="2140"/>
      <c r="AB98" s="2140"/>
      <c r="AC98" s="2140"/>
    </row>
    <row r="99" spans="1:29" ht="15.75" thickBot="1">
      <c r="A99" s="888"/>
      <c r="B99" s="695"/>
      <c r="C99" s="696"/>
      <c r="D99" s="696"/>
      <c r="E99" s="696"/>
      <c r="F99" s="696"/>
      <c r="G99" s="722"/>
      <c r="H99" s="722"/>
      <c r="I99" s="722"/>
      <c r="J99" s="722"/>
      <c r="K99" s="722"/>
      <c r="L99" s="722"/>
      <c r="M99" s="723"/>
      <c r="N99" s="2161"/>
      <c r="O99" s="2161"/>
      <c r="P99" s="2160"/>
      <c r="Q99" s="2153"/>
      <c r="R99" s="2140"/>
      <c r="S99" s="2140"/>
      <c r="T99" s="2140"/>
      <c r="U99" s="2140"/>
      <c r="V99" s="2140"/>
      <c r="W99" s="2140"/>
      <c r="X99" s="2140"/>
      <c r="Y99" s="2140"/>
      <c r="Z99" s="2140"/>
      <c r="AA99" s="2140"/>
      <c r="AB99" s="2140"/>
      <c r="AC99" s="2140"/>
    </row>
    <row r="100" spans="1:29">
      <c r="A100" s="660" t="s">
        <v>545</v>
      </c>
      <c r="B100" s="661" t="s">
        <v>765</v>
      </c>
      <c r="C100" s="594"/>
      <c r="D100" s="594"/>
      <c r="E100" s="594"/>
      <c r="F100" s="594"/>
      <c r="G100" s="594"/>
      <c r="H100" s="594"/>
      <c r="I100" s="594"/>
      <c r="J100" s="594"/>
      <c r="K100" s="662"/>
      <c r="L100" s="663"/>
      <c r="M100" s="664"/>
      <c r="N100" s="2159"/>
      <c r="O100" s="2159"/>
      <c r="P100" s="2160"/>
      <c r="Q100" s="2153"/>
      <c r="R100" s="2140"/>
      <c r="S100" s="2140"/>
      <c r="T100" s="2140"/>
      <c r="U100" s="2140"/>
      <c r="V100" s="2140"/>
      <c r="W100" s="2140"/>
      <c r="X100" s="2140"/>
      <c r="Y100" s="2140"/>
      <c r="Z100" s="2140"/>
      <c r="AA100" s="2140"/>
      <c r="AB100" s="2140"/>
      <c r="AC100" s="2140"/>
    </row>
    <row r="101" spans="1:29" ht="15.75" thickBot="1">
      <c r="A101" s="665"/>
      <c r="B101" s="674"/>
      <c r="C101" s="675">
        <v>100</v>
      </c>
      <c r="D101" s="675">
        <f t="shared" ref="D101:M101" si="21">C101-$K32</f>
        <v>100</v>
      </c>
      <c r="E101" s="675">
        <f t="shared" si="21"/>
        <v>100</v>
      </c>
      <c r="F101" s="675">
        <f t="shared" si="21"/>
        <v>100</v>
      </c>
      <c r="G101" s="675">
        <f t="shared" si="21"/>
        <v>100</v>
      </c>
      <c r="H101" s="675">
        <f t="shared" si="21"/>
        <v>100</v>
      </c>
      <c r="I101" s="675">
        <f t="shared" si="21"/>
        <v>100</v>
      </c>
      <c r="J101" s="675">
        <f t="shared" si="21"/>
        <v>100</v>
      </c>
      <c r="K101" s="675">
        <f t="shared" si="21"/>
        <v>100</v>
      </c>
      <c r="L101" s="675">
        <f t="shared" si="21"/>
        <v>100</v>
      </c>
      <c r="M101" s="676">
        <f t="shared" si="21"/>
        <v>100</v>
      </c>
      <c r="N101" s="2161"/>
      <c r="O101" s="2161"/>
      <c r="P101" s="2160"/>
      <c r="Q101" s="2153"/>
      <c r="R101" s="2140"/>
      <c r="S101" s="2140"/>
      <c r="T101" s="2140"/>
      <c r="U101" s="2140"/>
      <c r="V101" s="2140"/>
      <c r="W101" s="2140"/>
      <c r="X101" s="2140"/>
      <c r="Y101" s="2140"/>
      <c r="Z101" s="2140"/>
      <c r="AA101" s="2140"/>
      <c r="AB101" s="2140"/>
      <c r="AC101" s="2140"/>
    </row>
    <row r="102" spans="1:29" ht="15.75" thickTop="1">
      <c r="A102" s="665"/>
      <c r="B102" s="669" t="s">
        <v>741</v>
      </c>
      <c r="C102" s="704" t="str">
        <f>C103&amp;"(含)"&amp;"-"&amp;D103</f>
        <v>(含)-</v>
      </c>
      <c r="D102" s="704" t="str">
        <f t="shared" ref="D102:L102" si="22">D103&amp;"(含)"&amp;"-"&amp;E103</f>
        <v>(含)-</v>
      </c>
      <c r="E102" s="704" t="str">
        <f t="shared" si="22"/>
        <v>(含)-</v>
      </c>
      <c r="F102" s="704" t="str">
        <f t="shared" si="22"/>
        <v>(含)-</v>
      </c>
      <c r="G102" s="704" t="str">
        <f t="shared" si="22"/>
        <v>(含)-</v>
      </c>
      <c r="H102" s="704" t="str">
        <f t="shared" si="22"/>
        <v>(含)-</v>
      </c>
      <c r="I102" s="704" t="str">
        <f t="shared" si="22"/>
        <v>(含)-</v>
      </c>
      <c r="J102" s="704" t="str">
        <f t="shared" si="22"/>
        <v>(含)-</v>
      </c>
      <c r="K102" s="704" t="str">
        <f t="shared" si="22"/>
        <v>(含)-</v>
      </c>
      <c r="L102" s="704" t="str">
        <f t="shared" si="22"/>
        <v>(含)-</v>
      </c>
      <c r="M102" s="707" t="str">
        <f>M103&amp;"(含)"&amp;"-"&amp;P103</f>
        <v>(含)-</v>
      </c>
      <c r="N102" s="2157"/>
      <c r="O102" s="2157"/>
      <c r="P102" s="2160"/>
      <c r="Q102" s="2153"/>
      <c r="R102" s="2140"/>
      <c r="S102" s="2140"/>
      <c r="T102" s="2140"/>
      <c r="U102" s="2140"/>
      <c r="V102" s="2140"/>
      <c r="W102" s="2140"/>
      <c r="X102" s="2140"/>
      <c r="Y102" s="2140"/>
      <c r="Z102" s="2140"/>
      <c r="AA102" s="2140"/>
      <c r="AB102" s="2140"/>
      <c r="AC102" s="2140"/>
    </row>
    <row r="103" spans="1:29" s="1334" customFormat="1">
      <c r="A103" s="724"/>
      <c r="B103" s="725"/>
      <c r="C103" s="726"/>
      <c r="D103" s="726"/>
      <c r="E103" s="726"/>
      <c r="F103" s="726"/>
      <c r="G103" s="726"/>
      <c r="H103" s="726"/>
      <c r="I103" s="726"/>
      <c r="J103" s="727"/>
      <c r="K103" s="727"/>
      <c r="L103" s="728"/>
      <c r="M103" s="729"/>
      <c r="N103" s="2162"/>
      <c r="O103" s="2162"/>
      <c r="P103" s="2163"/>
      <c r="Q103" s="2164"/>
      <c r="R103" s="2165"/>
      <c r="S103" s="2165"/>
      <c r="T103" s="2165"/>
      <c r="U103" s="2165"/>
      <c r="V103" s="2165"/>
      <c r="W103" s="2165"/>
      <c r="X103" s="2165"/>
      <c r="Y103" s="2165"/>
      <c r="Z103" s="2165"/>
      <c r="AA103" s="2165"/>
      <c r="AB103" s="2165"/>
      <c r="AC103" s="2165"/>
    </row>
    <row r="104" spans="1:29" s="1334" customFormat="1" ht="15.75" thickBot="1">
      <c r="A104" s="683"/>
      <c r="B104" s="674"/>
      <c r="C104" s="688"/>
      <c r="D104" s="667"/>
      <c r="E104" s="667"/>
      <c r="F104" s="667"/>
      <c r="G104" s="667"/>
      <c r="H104" s="667"/>
      <c r="I104" s="667"/>
      <c r="J104" s="667"/>
      <c r="K104" s="667"/>
      <c r="L104" s="667"/>
      <c r="M104" s="668"/>
      <c r="N104" s="2161"/>
      <c r="O104" s="2161"/>
      <c r="P104" s="2163"/>
      <c r="Q104" s="2164"/>
      <c r="R104" s="2165"/>
      <c r="S104" s="2165"/>
      <c r="T104" s="2165"/>
      <c r="U104" s="2165"/>
      <c r="V104" s="2165"/>
      <c r="W104" s="2165"/>
      <c r="X104" s="2165"/>
      <c r="Y104" s="2165"/>
      <c r="Z104" s="2165"/>
      <c r="AA104" s="2165"/>
      <c r="AB104" s="2165"/>
      <c r="AC104" s="2165"/>
    </row>
    <row r="105" spans="1:29" ht="15" thickTop="1">
      <c r="A105" s="731"/>
      <c r="B105" s="669" t="s">
        <v>742</v>
      </c>
      <c r="C105" s="684"/>
      <c r="D105" s="684"/>
      <c r="E105" s="714"/>
      <c r="F105" s="714"/>
      <c r="G105" s="714"/>
      <c r="H105" s="714"/>
      <c r="I105" s="714"/>
      <c r="J105" s="714"/>
      <c r="K105" s="715"/>
      <c r="L105" s="716"/>
      <c r="M105" s="717"/>
      <c r="N105" s="2159"/>
      <c r="O105" s="2159"/>
      <c r="P105" s="2160"/>
      <c r="Q105" s="2153"/>
      <c r="R105" s="2140"/>
      <c r="S105" s="2140"/>
      <c r="T105" s="2140"/>
      <c r="U105" s="2140"/>
      <c r="V105" s="2140"/>
      <c r="W105" s="2140"/>
      <c r="X105" s="2140"/>
      <c r="Y105" s="2140"/>
      <c r="Z105" s="2140"/>
      <c r="AA105" s="2140"/>
      <c r="AB105" s="2140"/>
      <c r="AC105" s="2140"/>
    </row>
    <row r="106" spans="1:29" ht="15.75" thickBot="1">
      <c r="A106" s="665"/>
      <c r="B106" s="674"/>
      <c r="C106" s="675">
        <v>100</v>
      </c>
      <c r="D106" s="675">
        <f t="shared" ref="D106:M106" si="23">C106-$K34</f>
        <v>100</v>
      </c>
      <c r="E106" s="675">
        <f t="shared" si="23"/>
        <v>100</v>
      </c>
      <c r="F106" s="675">
        <f t="shared" si="23"/>
        <v>100</v>
      </c>
      <c r="G106" s="675">
        <f t="shared" si="23"/>
        <v>100</v>
      </c>
      <c r="H106" s="675">
        <f t="shared" si="23"/>
        <v>100</v>
      </c>
      <c r="I106" s="675">
        <f t="shared" si="23"/>
        <v>100</v>
      </c>
      <c r="J106" s="675">
        <f t="shared" si="23"/>
        <v>100</v>
      </c>
      <c r="K106" s="675">
        <f t="shared" si="23"/>
        <v>100</v>
      </c>
      <c r="L106" s="675">
        <f t="shared" si="23"/>
        <v>100</v>
      </c>
      <c r="M106" s="676">
        <f t="shared" si="23"/>
        <v>100</v>
      </c>
      <c r="N106" s="2161"/>
      <c r="O106" s="2161"/>
      <c r="P106" s="2160"/>
      <c r="Q106" s="2153"/>
      <c r="R106" s="2140"/>
      <c r="S106" s="2140"/>
      <c r="T106" s="2140"/>
      <c r="U106" s="2140"/>
      <c r="V106" s="2140"/>
      <c r="W106" s="2140"/>
      <c r="X106" s="2140"/>
      <c r="Y106" s="2140"/>
      <c r="Z106" s="2140"/>
      <c r="AA106" s="2140"/>
      <c r="AB106" s="2140"/>
      <c r="AC106" s="2140"/>
    </row>
    <row r="107" spans="1:29" ht="15" thickTop="1">
      <c r="A107" s="731"/>
      <c r="B107" s="669" t="s">
        <v>744</v>
      </c>
      <c r="C107" s="684"/>
      <c r="D107" s="684"/>
      <c r="E107" s="684"/>
      <c r="F107" s="714"/>
      <c r="G107" s="714"/>
      <c r="H107" s="714"/>
      <c r="I107" s="714"/>
      <c r="J107" s="714"/>
      <c r="K107" s="715"/>
      <c r="L107" s="716"/>
      <c r="M107" s="717"/>
      <c r="N107" s="2159"/>
      <c r="O107" s="2159"/>
      <c r="P107" s="2160"/>
      <c r="Q107" s="2153"/>
      <c r="R107" s="2140"/>
      <c r="S107" s="2140"/>
      <c r="T107" s="2140"/>
      <c r="U107" s="2140"/>
      <c r="V107" s="2140"/>
      <c r="W107" s="2140"/>
      <c r="X107" s="2140"/>
      <c r="Y107" s="2140"/>
      <c r="Z107" s="2140"/>
      <c r="AA107" s="2140"/>
      <c r="AB107" s="2140"/>
      <c r="AC107" s="2140"/>
    </row>
    <row r="108" spans="1:29" ht="15.75" thickBot="1">
      <c r="A108" s="665"/>
      <c r="B108" s="674"/>
      <c r="C108" s="675">
        <v>100</v>
      </c>
      <c r="D108" s="675">
        <f t="shared" ref="D108:M108" si="24">C108-$K35</f>
        <v>100</v>
      </c>
      <c r="E108" s="675">
        <f t="shared" si="24"/>
        <v>100</v>
      </c>
      <c r="F108" s="675">
        <f t="shared" si="24"/>
        <v>100</v>
      </c>
      <c r="G108" s="675">
        <f t="shared" si="24"/>
        <v>100</v>
      </c>
      <c r="H108" s="675">
        <f t="shared" si="24"/>
        <v>100</v>
      </c>
      <c r="I108" s="675">
        <f t="shared" si="24"/>
        <v>100</v>
      </c>
      <c r="J108" s="675">
        <f t="shared" si="24"/>
        <v>100</v>
      </c>
      <c r="K108" s="675">
        <f t="shared" si="24"/>
        <v>100</v>
      </c>
      <c r="L108" s="675">
        <f t="shared" si="24"/>
        <v>100</v>
      </c>
      <c r="M108" s="676">
        <f t="shared" si="24"/>
        <v>100</v>
      </c>
      <c r="N108" s="2161"/>
      <c r="O108" s="2161"/>
      <c r="P108" s="2160"/>
      <c r="Q108" s="2153"/>
      <c r="R108" s="2140"/>
      <c r="S108" s="2140"/>
      <c r="T108" s="2140"/>
      <c r="U108" s="2140"/>
      <c r="V108" s="2140"/>
      <c r="W108" s="2140"/>
      <c r="X108" s="2140"/>
      <c r="Y108" s="2140"/>
      <c r="Z108" s="2140"/>
      <c r="AA108" s="2140"/>
      <c r="AB108" s="2140"/>
      <c r="AC108" s="2140"/>
    </row>
    <row r="109" spans="1:29" ht="15" thickTop="1">
      <c r="A109" s="731"/>
      <c r="B109" s="669" t="s">
        <v>745</v>
      </c>
      <c r="C109" s="704" t="str">
        <f>C110&amp;"(含)"&amp;"-"&amp;D110</f>
        <v>0.5(含)-0.6</v>
      </c>
      <c r="D109" s="704" t="str">
        <f>D110&amp;"(含)"&amp;"-"&amp;E110</f>
        <v>0.6(含)-0.7</v>
      </c>
      <c r="E109" s="704" t="str">
        <f>E110&amp;"(含)"&amp;"-"&amp;F110</f>
        <v>0.7(含)-0.8</v>
      </c>
      <c r="F109" s="704" t="str">
        <f>F110&amp;"(含)"&amp;"-"&amp;G110</f>
        <v>0.8(含)-0.9</v>
      </c>
      <c r="G109" s="704" t="str">
        <f>G110&amp;"(含)"&amp;"-"&amp;ROUND(H110,0)</f>
        <v>0.9(含)-1</v>
      </c>
      <c r="H109" s="704"/>
      <c r="I109" s="714"/>
      <c r="J109" s="714"/>
      <c r="K109" s="715"/>
      <c r="L109" s="716"/>
      <c r="M109" s="717"/>
      <c r="N109" s="2159"/>
      <c r="O109" s="2159"/>
      <c r="P109" s="2160"/>
      <c r="Q109" s="2153"/>
      <c r="R109" s="2140"/>
      <c r="S109" s="2140"/>
      <c r="T109" s="2140"/>
      <c r="U109" s="2140"/>
      <c r="V109" s="2140"/>
      <c r="W109" s="2140"/>
      <c r="X109" s="2140"/>
      <c r="Y109" s="2140"/>
      <c r="Z109" s="2140"/>
      <c r="AA109" s="2140"/>
      <c r="AB109" s="2140"/>
      <c r="AC109" s="2140"/>
    </row>
    <row r="110" spans="1:29">
      <c r="A110" s="731"/>
      <c r="B110" s="677"/>
      <c r="C110" s="889">
        <v>0.5</v>
      </c>
      <c r="D110" s="889">
        <v>0.6</v>
      </c>
      <c r="E110" s="889">
        <v>0.7</v>
      </c>
      <c r="F110" s="889">
        <v>0.8</v>
      </c>
      <c r="G110" s="889">
        <v>0.9</v>
      </c>
      <c r="H110" s="889">
        <v>1.0001</v>
      </c>
      <c r="I110" s="900"/>
      <c r="J110" s="900"/>
      <c r="K110" s="901"/>
      <c r="L110" s="902"/>
      <c r="M110" s="903"/>
      <c r="N110" s="2159"/>
      <c r="O110" s="2159"/>
      <c r="P110" s="2160"/>
      <c r="Q110" s="2153"/>
      <c r="R110" s="2140"/>
      <c r="S110" s="2140"/>
      <c r="T110" s="2140"/>
      <c r="U110" s="2140"/>
      <c r="V110" s="2140"/>
      <c r="W110" s="2140"/>
      <c r="X110" s="2140"/>
      <c r="Y110" s="2140"/>
      <c r="Z110" s="2140"/>
      <c r="AA110" s="2140"/>
      <c r="AB110" s="2140"/>
      <c r="AC110" s="2140"/>
    </row>
    <row r="111" spans="1:29" ht="15.75" thickBot="1">
      <c r="A111" s="665"/>
      <c r="B111" s="674"/>
      <c r="C111" s="708">
        <v>100</v>
      </c>
      <c r="D111" s="675">
        <f>C111+$K36</f>
        <v>100</v>
      </c>
      <c r="E111" s="675">
        <f t="shared" ref="E111:M111" si="25">D111+$K36</f>
        <v>100</v>
      </c>
      <c r="F111" s="675">
        <f t="shared" si="25"/>
        <v>100</v>
      </c>
      <c r="G111" s="675">
        <f t="shared" si="25"/>
        <v>100</v>
      </c>
      <c r="H111" s="675">
        <f t="shared" si="25"/>
        <v>100</v>
      </c>
      <c r="I111" s="675">
        <f t="shared" si="25"/>
        <v>100</v>
      </c>
      <c r="J111" s="675">
        <f t="shared" si="25"/>
        <v>100</v>
      </c>
      <c r="K111" s="675">
        <f t="shared" si="25"/>
        <v>100</v>
      </c>
      <c r="L111" s="675">
        <f t="shared" si="25"/>
        <v>100</v>
      </c>
      <c r="M111" s="675">
        <f t="shared" si="25"/>
        <v>100</v>
      </c>
      <c r="N111" s="2161"/>
      <c r="O111" s="2161"/>
      <c r="P111" s="2160"/>
      <c r="Q111" s="2153"/>
      <c r="R111" s="2140"/>
      <c r="S111" s="2140"/>
      <c r="T111" s="2140"/>
      <c r="U111" s="2140"/>
      <c r="V111" s="2140"/>
      <c r="W111" s="2140"/>
      <c r="X111" s="2140"/>
      <c r="Y111" s="2140"/>
      <c r="Z111" s="2140"/>
      <c r="AA111" s="2140"/>
      <c r="AB111" s="2140"/>
      <c r="AC111" s="2140"/>
    </row>
    <row r="112" spans="1:29" s="1334" customFormat="1" ht="15" thickTop="1">
      <c r="A112" s="724"/>
      <c r="B112" s="1891" t="s">
        <v>2553</v>
      </c>
      <c r="C112" s="684"/>
      <c r="D112" s="684"/>
      <c r="E112" s="684"/>
      <c r="F112" s="684"/>
      <c r="G112" s="684"/>
      <c r="H112" s="714"/>
      <c r="I112" s="714"/>
      <c r="J112" s="714"/>
      <c r="K112" s="715"/>
      <c r="L112" s="716"/>
      <c r="M112" s="717"/>
      <c r="N112" s="2162"/>
      <c r="O112" s="2162"/>
      <c r="P112" s="2163"/>
      <c r="Q112" s="2164"/>
      <c r="R112" s="2165"/>
      <c r="S112" s="2165"/>
      <c r="T112" s="2165"/>
      <c r="U112" s="2165"/>
      <c r="V112" s="2165"/>
      <c r="W112" s="2165"/>
      <c r="X112" s="2165"/>
      <c r="Y112" s="2165"/>
      <c r="Z112" s="2165"/>
      <c r="AA112" s="2165"/>
      <c r="AB112" s="2165"/>
      <c r="AC112" s="2165"/>
    </row>
    <row r="113" spans="1:29" s="1334" customFormat="1" ht="15.75" thickBot="1">
      <c r="A113" s="683"/>
      <c r="B113" s="674"/>
      <c r="C113" s="675">
        <v>100</v>
      </c>
      <c r="D113" s="675">
        <f>C113-$K37</f>
        <v>100</v>
      </c>
      <c r="E113" s="675">
        <f t="shared" ref="E113:M113" si="26">D113-$K37</f>
        <v>100</v>
      </c>
      <c r="F113" s="675">
        <f t="shared" si="26"/>
        <v>100</v>
      </c>
      <c r="G113" s="675">
        <f t="shared" si="26"/>
        <v>100</v>
      </c>
      <c r="H113" s="675">
        <f t="shared" si="26"/>
        <v>100</v>
      </c>
      <c r="I113" s="675">
        <f t="shared" si="26"/>
        <v>100</v>
      </c>
      <c r="J113" s="675">
        <f t="shared" si="26"/>
        <v>100</v>
      </c>
      <c r="K113" s="675">
        <f t="shared" si="26"/>
        <v>100</v>
      </c>
      <c r="L113" s="675">
        <f t="shared" si="26"/>
        <v>100</v>
      </c>
      <c r="M113" s="675">
        <f t="shared" si="26"/>
        <v>100</v>
      </c>
      <c r="N113" s="2162"/>
      <c r="O113" s="2162"/>
      <c r="P113" s="2163"/>
      <c r="Q113" s="2164"/>
      <c r="R113" s="2165"/>
      <c r="S113" s="2165"/>
      <c r="T113" s="2165"/>
      <c r="U113" s="2165"/>
      <c r="V113" s="2165"/>
      <c r="W113" s="2165"/>
      <c r="X113" s="2165"/>
      <c r="Y113" s="2165"/>
      <c r="Z113" s="2165"/>
      <c r="AA113" s="2165"/>
      <c r="AB113" s="2165"/>
      <c r="AC113" s="2165"/>
    </row>
    <row r="114" spans="1:29" ht="15" thickTop="1">
      <c r="A114" s="731"/>
      <c r="B114" s="669" t="s">
        <v>766</v>
      </c>
      <c r="C114" s="684"/>
      <c r="D114" s="684"/>
      <c r="E114" s="714"/>
      <c r="F114" s="714"/>
      <c r="G114" s="714"/>
      <c r="H114" s="714"/>
      <c r="I114" s="714"/>
      <c r="J114" s="714"/>
      <c r="K114" s="715"/>
      <c r="L114" s="716"/>
      <c r="M114" s="717"/>
      <c r="N114" s="2159"/>
      <c r="O114" s="2159"/>
      <c r="P114" s="2160"/>
      <c r="Q114" s="2153"/>
      <c r="R114" s="2140"/>
      <c r="S114" s="2140"/>
      <c r="T114" s="2140"/>
      <c r="U114" s="2140"/>
      <c r="V114" s="2140"/>
      <c r="W114" s="2140"/>
      <c r="X114" s="2140"/>
      <c r="Y114" s="2140"/>
      <c r="Z114" s="2140"/>
      <c r="AA114" s="2140"/>
      <c r="AB114" s="2140"/>
      <c r="AC114" s="2140"/>
    </row>
    <row r="115" spans="1:29" ht="15.75" thickBot="1">
      <c r="A115" s="665"/>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6">
        <f t="shared" si="27"/>
        <v>100</v>
      </c>
      <c r="N115" s="2161"/>
      <c r="O115" s="2161"/>
      <c r="P115" s="2160"/>
      <c r="Q115" s="2153"/>
      <c r="R115" s="2140"/>
      <c r="S115" s="2140"/>
      <c r="T115" s="2140"/>
      <c r="U115" s="2140"/>
      <c r="V115" s="2140"/>
      <c r="W115" s="2140"/>
      <c r="X115" s="2140"/>
      <c r="Y115" s="2140"/>
      <c r="Z115" s="2140"/>
      <c r="AA115" s="2140"/>
      <c r="AB115" s="2140"/>
      <c r="AC115" s="2140"/>
    </row>
    <row r="116" spans="1:29" ht="15" thickTop="1">
      <c r="A116" s="731"/>
      <c r="B116" s="669" t="s">
        <v>767</v>
      </c>
      <c r="C116" s="684"/>
      <c r="D116" s="684"/>
      <c r="E116" s="684"/>
      <c r="F116" s="684"/>
      <c r="G116" s="684"/>
      <c r="H116" s="714"/>
      <c r="I116" s="714"/>
      <c r="J116" s="714"/>
      <c r="K116" s="715"/>
      <c r="L116" s="716"/>
      <c r="M116" s="717"/>
      <c r="N116" s="2159"/>
      <c r="O116" s="2159"/>
      <c r="P116" s="2160"/>
      <c r="Q116" s="2153"/>
      <c r="R116" s="2140"/>
      <c r="S116" s="2140"/>
      <c r="T116" s="2140"/>
      <c r="U116" s="2140"/>
      <c r="V116" s="2140"/>
      <c r="W116" s="2140"/>
      <c r="X116" s="2140"/>
      <c r="Y116" s="2140"/>
      <c r="Z116" s="2140"/>
      <c r="AA116" s="2140"/>
      <c r="AB116" s="2140"/>
      <c r="AC116" s="2140"/>
    </row>
    <row r="117" spans="1:29" ht="15.75" thickBot="1">
      <c r="A117" s="665"/>
      <c r="B117" s="674"/>
      <c r="C117" s="675">
        <v>100</v>
      </c>
      <c r="D117" s="675">
        <f>C117-$K39</f>
        <v>100</v>
      </c>
      <c r="E117" s="675">
        <f>D117-$K39</f>
        <v>100</v>
      </c>
      <c r="F117" s="675">
        <f>E117-$K39</f>
        <v>100</v>
      </c>
      <c r="G117" s="675">
        <f>F117-$K39</f>
        <v>100</v>
      </c>
      <c r="H117" s="675"/>
      <c r="I117" s="675"/>
      <c r="J117" s="675"/>
      <c r="K117" s="675"/>
      <c r="L117" s="675"/>
      <c r="M117" s="676"/>
      <c r="N117" s="2161"/>
      <c r="O117" s="2161"/>
      <c r="P117" s="2160"/>
      <c r="Q117" s="2153"/>
      <c r="R117" s="2140"/>
      <c r="S117" s="2140"/>
      <c r="T117" s="2140"/>
      <c r="U117" s="2140"/>
      <c r="V117" s="2140"/>
      <c r="W117" s="2140"/>
      <c r="X117" s="2140"/>
      <c r="Y117" s="2140"/>
      <c r="Z117" s="2140"/>
      <c r="AA117" s="2140"/>
      <c r="AB117" s="2140"/>
      <c r="AC117" s="2140"/>
    </row>
    <row r="118" spans="1:29" ht="15" thickTop="1">
      <c r="A118" s="731"/>
      <c r="B118" s="669" t="s">
        <v>768</v>
      </c>
      <c r="C118" s="904"/>
      <c r="D118" s="904"/>
      <c r="E118" s="904"/>
      <c r="F118" s="904"/>
      <c r="G118" s="904"/>
      <c r="H118" s="685"/>
      <c r="I118" s="685"/>
      <c r="J118" s="685"/>
      <c r="K118" s="685"/>
      <c r="L118" s="686"/>
      <c r="M118" s="687"/>
      <c r="N118" s="2159"/>
      <c r="O118" s="2159"/>
      <c r="P118" s="2160"/>
      <c r="Q118" s="2153"/>
      <c r="R118" s="2140"/>
      <c r="S118" s="2140"/>
      <c r="T118" s="2140"/>
      <c r="U118" s="2140"/>
      <c r="V118" s="2140"/>
      <c r="W118" s="2140"/>
      <c r="X118" s="2140"/>
      <c r="Y118" s="2140"/>
      <c r="Z118" s="2140"/>
      <c r="AA118" s="2140"/>
      <c r="AB118" s="2140"/>
      <c r="AC118" s="2140"/>
    </row>
    <row r="119" spans="1:29" ht="15.75" thickBot="1">
      <c r="A119" s="665"/>
      <c r="B119" s="674"/>
      <c r="C119" s="688"/>
      <c r="D119" s="667"/>
      <c r="E119" s="667"/>
      <c r="F119" s="667"/>
      <c r="G119" s="667"/>
      <c r="H119" s="667"/>
      <c r="I119" s="667"/>
      <c r="J119" s="667"/>
      <c r="K119" s="667"/>
      <c r="L119" s="667"/>
      <c r="M119" s="668"/>
      <c r="N119" s="2161"/>
      <c r="O119" s="2161"/>
      <c r="P119" s="2160"/>
      <c r="Q119" s="2153"/>
      <c r="R119" s="2140"/>
      <c r="S119" s="2140"/>
      <c r="T119" s="2140"/>
      <c r="U119" s="2140"/>
      <c r="V119" s="2140"/>
      <c r="W119" s="2140"/>
      <c r="X119" s="2140"/>
      <c r="Y119" s="2140"/>
      <c r="Z119" s="2140"/>
      <c r="AA119" s="2140"/>
      <c r="AB119" s="2140"/>
      <c r="AC119" s="2140"/>
    </row>
    <row r="120" spans="1:29" s="1334" customFormat="1" ht="15" thickTop="1">
      <c r="A120" s="724"/>
      <c r="B120" s="669" t="s">
        <v>769</v>
      </c>
      <c r="C120" s="714"/>
      <c r="D120" s="714"/>
      <c r="E120" s="714"/>
      <c r="F120" s="714"/>
      <c r="G120" s="685"/>
      <c r="H120" s="685"/>
      <c r="I120" s="685"/>
      <c r="J120" s="685"/>
      <c r="K120" s="685"/>
      <c r="L120" s="686"/>
      <c r="M120" s="687"/>
      <c r="N120" s="2162"/>
      <c r="O120" s="2162"/>
      <c r="P120" s="2163"/>
      <c r="Q120" s="2164"/>
      <c r="R120" s="2165"/>
      <c r="S120" s="2165"/>
      <c r="T120" s="2165"/>
      <c r="U120" s="2165"/>
      <c r="V120" s="2165"/>
      <c r="W120" s="2165"/>
      <c r="X120" s="2165"/>
      <c r="Y120" s="2165"/>
      <c r="Z120" s="2165"/>
      <c r="AA120" s="2165"/>
      <c r="AB120" s="2165"/>
      <c r="AC120" s="2165"/>
    </row>
    <row r="121" spans="1:29" s="1334" customFormat="1" ht="15.75" thickBot="1">
      <c r="A121" s="683"/>
      <c r="B121" s="666"/>
      <c r="C121" s="708">
        <v>100</v>
      </c>
      <c r="D121" s="675">
        <f>C121-$K41</f>
        <v>100</v>
      </c>
      <c r="E121" s="675">
        <f t="shared" ref="E121:M121" si="28">D121-$K41</f>
        <v>100</v>
      </c>
      <c r="F121" s="675">
        <f t="shared" si="28"/>
        <v>100</v>
      </c>
      <c r="G121" s="675">
        <f t="shared" si="28"/>
        <v>100</v>
      </c>
      <c r="H121" s="675">
        <f t="shared" si="28"/>
        <v>100</v>
      </c>
      <c r="I121" s="675">
        <f t="shared" si="28"/>
        <v>100</v>
      </c>
      <c r="J121" s="675">
        <f t="shared" si="28"/>
        <v>100</v>
      </c>
      <c r="K121" s="675">
        <f t="shared" si="28"/>
        <v>100</v>
      </c>
      <c r="L121" s="675">
        <f t="shared" si="28"/>
        <v>100</v>
      </c>
      <c r="M121" s="676">
        <f t="shared" si="28"/>
        <v>100</v>
      </c>
      <c r="N121" s="2162"/>
      <c r="O121" s="2162"/>
      <c r="P121" s="2163"/>
      <c r="Q121" s="2164"/>
      <c r="R121" s="2165"/>
      <c r="S121" s="2165"/>
      <c r="T121" s="2165"/>
      <c r="U121" s="2165"/>
      <c r="V121" s="2165"/>
      <c r="W121" s="2165"/>
      <c r="X121" s="2165"/>
      <c r="Y121" s="2165"/>
      <c r="Z121" s="2165"/>
      <c r="AA121" s="2165"/>
      <c r="AB121" s="2165"/>
      <c r="AC121" s="2165"/>
    </row>
    <row r="122" spans="1:29" ht="15" thickTop="1">
      <c r="A122" s="731"/>
      <c r="B122" s="669" t="s">
        <v>748</v>
      </c>
      <c r="C122" s="684"/>
      <c r="D122" s="684"/>
      <c r="E122" s="684"/>
      <c r="F122" s="714"/>
      <c r="G122" s="714"/>
      <c r="H122" s="714"/>
      <c r="I122" s="714"/>
      <c r="J122" s="714"/>
      <c r="K122" s="715"/>
      <c r="L122" s="716"/>
      <c r="M122" s="717"/>
      <c r="N122" s="2159"/>
      <c r="O122" s="2159"/>
      <c r="P122" s="2160"/>
      <c r="Q122" s="2153"/>
      <c r="R122" s="2140"/>
      <c r="S122" s="2140"/>
      <c r="T122" s="2140"/>
      <c r="U122" s="2140"/>
      <c r="V122" s="2140"/>
      <c r="W122" s="2140"/>
      <c r="X122" s="2140"/>
      <c r="Y122" s="2140"/>
      <c r="Z122" s="2140"/>
      <c r="AA122" s="2140"/>
      <c r="AB122" s="2140"/>
      <c r="AC122" s="2140"/>
    </row>
    <row r="123" spans="1:29" ht="15.75" thickBot="1">
      <c r="A123" s="665"/>
      <c r="B123" s="674"/>
      <c r="C123" s="675">
        <v>100</v>
      </c>
      <c r="D123" s="675">
        <f t="shared" ref="D123:M123" si="29">C123-$K42</f>
        <v>100</v>
      </c>
      <c r="E123" s="675">
        <f t="shared" si="29"/>
        <v>100</v>
      </c>
      <c r="F123" s="675">
        <f t="shared" si="29"/>
        <v>100</v>
      </c>
      <c r="G123" s="675">
        <f t="shared" si="29"/>
        <v>100</v>
      </c>
      <c r="H123" s="675">
        <f t="shared" si="29"/>
        <v>100</v>
      </c>
      <c r="I123" s="675">
        <f t="shared" si="29"/>
        <v>100</v>
      </c>
      <c r="J123" s="675">
        <f t="shared" si="29"/>
        <v>100</v>
      </c>
      <c r="K123" s="675">
        <f t="shared" si="29"/>
        <v>100</v>
      </c>
      <c r="L123" s="675">
        <f t="shared" si="29"/>
        <v>100</v>
      </c>
      <c r="M123" s="676">
        <f t="shared" si="29"/>
        <v>100</v>
      </c>
      <c r="N123" s="2161"/>
      <c r="O123" s="2161"/>
      <c r="P123" s="2160"/>
      <c r="Q123" s="2153"/>
      <c r="R123" s="2140"/>
      <c r="S123" s="2140"/>
      <c r="T123" s="2140"/>
      <c r="U123" s="2140"/>
      <c r="V123" s="2140"/>
      <c r="W123" s="2140"/>
      <c r="X123" s="2140"/>
      <c r="Y123" s="2140"/>
      <c r="Z123" s="2140"/>
      <c r="AA123" s="2140"/>
      <c r="AB123" s="2140"/>
      <c r="AC123" s="2140"/>
    </row>
    <row r="124" spans="1:29" ht="27.75" thickTop="1">
      <c r="A124" s="731"/>
      <c r="B124" s="669" t="s">
        <v>749</v>
      </c>
      <c r="C124" s="704" t="s">
        <v>573</v>
      </c>
      <c r="D124" s="704" t="s">
        <v>574</v>
      </c>
      <c r="E124" s="704" t="s">
        <v>575</v>
      </c>
      <c r="F124" s="704" t="s">
        <v>576</v>
      </c>
      <c r="G124" s="704" t="s">
        <v>577</v>
      </c>
      <c r="H124" s="670"/>
      <c r="I124" s="670"/>
      <c r="J124" s="670"/>
      <c r="K124" s="671"/>
      <c r="L124" s="672"/>
      <c r="M124" s="673"/>
      <c r="N124" s="2159"/>
      <c r="O124" s="2159"/>
      <c r="P124" s="2163"/>
      <c r="Q124" s="2153"/>
      <c r="R124" s="2140"/>
      <c r="S124" s="2140"/>
      <c r="T124" s="2140"/>
      <c r="U124" s="2140"/>
      <c r="V124" s="2140"/>
      <c r="W124" s="2140"/>
      <c r="X124" s="2140"/>
      <c r="Y124" s="2140"/>
      <c r="Z124" s="2140"/>
      <c r="AA124" s="2140"/>
      <c r="AB124" s="2140"/>
      <c r="AC124" s="2140"/>
    </row>
    <row r="125" spans="1:29" ht="15.75" thickBot="1">
      <c r="A125" s="665"/>
      <c r="B125" s="674"/>
      <c r="C125" s="675">
        <v>100</v>
      </c>
      <c r="D125" s="675">
        <f>C125-$K43</f>
        <v>100</v>
      </c>
      <c r="E125" s="675">
        <f>D125-$K43</f>
        <v>100</v>
      </c>
      <c r="F125" s="675">
        <f>E125-$K43</f>
        <v>100</v>
      </c>
      <c r="G125" s="675">
        <f>F125-$K43</f>
        <v>100</v>
      </c>
      <c r="H125" s="675"/>
      <c r="I125" s="675"/>
      <c r="J125" s="675"/>
      <c r="K125" s="675"/>
      <c r="L125" s="675"/>
      <c r="M125" s="676"/>
      <c r="N125" s="2161"/>
      <c r="O125" s="2161"/>
      <c r="P125" s="2160"/>
      <c r="Q125" s="2153"/>
      <c r="R125" s="2140"/>
      <c r="S125" s="2140"/>
      <c r="T125" s="2140"/>
      <c r="U125" s="2140"/>
      <c r="V125" s="2140"/>
      <c r="W125" s="2140"/>
      <c r="X125" s="2140"/>
      <c r="Y125" s="2140"/>
      <c r="Z125" s="2140"/>
      <c r="AA125" s="2140"/>
      <c r="AB125" s="2140"/>
      <c r="AC125" s="2140"/>
    </row>
    <row r="126" spans="1:29" s="1334" customFormat="1" ht="15" thickTop="1">
      <c r="A126" s="724"/>
      <c r="B126" s="669">
        <f>B44</f>
        <v>111</v>
      </c>
      <c r="C126" s="684"/>
      <c r="D126" s="684"/>
      <c r="E126" s="684"/>
      <c r="F126" s="684"/>
      <c r="G126" s="684"/>
      <c r="H126" s="685"/>
      <c r="I126" s="685"/>
      <c r="J126" s="685"/>
      <c r="K126" s="685"/>
      <c r="L126" s="686"/>
      <c r="M126" s="687"/>
      <c r="N126" s="2162"/>
      <c r="O126" s="2162"/>
      <c r="P126" s="2163"/>
      <c r="Q126" s="2164"/>
      <c r="R126" s="2165"/>
      <c r="S126" s="2165"/>
      <c r="T126" s="2165"/>
      <c r="U126" s="2165"/>
      <c r="V126" s="2165"/>
      <c r="W126" s="2165"/>
      <c r="X126" s="2165"/>
      <c r="Y126" s="2165"/>
      <c r="Z126" s="2165"/>
      <c r="AA126" s="2165"/>
      <c r="AB126" s="2165"/>
      <c r="AC126" s="2165"/>
    </row>
    <row r="127" spans="1:29" s="1334" customFormat="1" ht="15.75" thickBot="1">
      <c r="A127" s="683"/>
      <c r="B127" s="674"/>
      <c r="C127" s="688"/>
      <c r="D127" s="667"/>
      <c r="E127" s="667"/>
      <c r="F127" s="667"/>
      <c r="G127" s="688"/>
      <c r="H127" s="689"/>
      <c r="I127" s="689"/>
      <c r="J127" s="689"/>
      <c r="K127" s="689"/>
      <c r="L127" s="689"/>
      <c r="M127" s="690"/>
      <c r="N127" s="2162"/>
      <c r="O127" s="2162"/>
      <c r="P127" s="2163"/>
      <c r="Q127" s="2164"/>
      <c r="R127" s="2165"/>
      <c r="S127" s="2165"/>
      <c r="T127" s="2165"/>
      <c r="U127" s="2165"/>
      <c r="V127" s="2165"/>
      <c r="W127" s="2165"/>
      <c r="X127" s="2165"/>
      <c r="Y127" s="2165"/>
      <c r="Z127" s="2165"/>
      <c r="AA127" s="2165"/>
      <c r="AB127" s="2165"/>
      <c r="AC127" s="2165"/>
    </row>
    <row r="128" spans="1:29" ht="15" thickTop="1">
      <c r="A128" s="731"/>
      <c r="B128" s="669">
        <f>B45</f>
        <v>111</v>
      </c>
      <c r="C128" s="684"/>
      <c r="D128" s="684"/>
      <c r="E128" s="684"/>
      <c r="F128" s="684"/>
      <c r="G128" s="714"/>
      <c r="H128" s="714"/>
      <c r="I128" s="714"/>
      <c r="J128" s="714"/>
      <c r="K128" s="715"/>
      <c r="L128" s="716"/>
      <c r="M128" s="717"/>
      <c r="N128" s="2159"/>
      <c r="O128" s="2159"/>
      <c r="P128" s="2160"/>
      <c r="Q128" s="2153"/>
      <c r="R128" s="2140"/>
      <c r="S128" s="2140"/>
      <c r="T128" s="2140"/>
      <c r="U128" s="2140"/>
      <c r="V128" s="2140"/>
      <c r="W128" s="2140"/>
      <c r="X128" s="2140"/>
      <c r="Y128" s="2140"/>
      <c r="Z128" s="2140"/>
      <c r="AA128" s="2140"/>
      <c r="AB128" s="2140"/>
      <c r="AC128" s="2140"/>
    </row>
    <row r="129" spans="1:29" ht="15.75" thickBot="1">
      <c r="A129" s="665"/>
      <c r="B129" s="674"/>
      <c r="C129" s="688"/>
      <c r="D129" s="667"/>
      <c r="E129" s="667"/>
      <c r="F129" s="667"/>
      <c r="G129" s="667"/>
      <c r="H129" s="667"/>
      <c r="I129" s="667"/>
      <c r="J129" s="667"/>
      <c r="K129" s="667"/>
      <c r="L129" s="667"/>
      <c r="M129" s="668"/>
      <c r="N129" s="2161"/>
      <c r="O129" s="2161"/>
      <c r="P129" s="2160"/>
      <c r="Q129" s="2153"/>
      <c r="R129" s="2140"/>
      <c r="S129" s="2140"/>
      <c r="T129" s="2140"/>
      <c r="U129" s="2140"/>
      <c r="V129" s="2140"/>
      <c r="W129" s="2140"/>
      <c r="X129" s="2140"/>
      <c r="Y129" s="2140"/>
      <c r="Z129" s="2140"/>
      <c r="AA129" s="2140"/>
      <c r="AB129" s="2140"/>
      <c r="AC129" s="2140"/>
    </row>
    <row r="130" spans="1:29" ht="15" thickTop="1">
      <c r="A130" s="731"/>
      <c r="B130" s="677">
        <f>B46</f>
        <v>111</v>
      </c>
      <c r="C130" s="684"/>
      <c r="D130" s="684"/>
      <c r="E130" s="684"/>
      <c r="F130" s="684"/>
      <c r="G130" s="718"/>
      <c r="H130" s="718"/>
      <c r="I130" s="718"/>
      <c r="J130" s="718"/>
      <c r="K130" s="657"/>
      <c r="L130" s="658"/>
      <c r="M130" s="721"/>
      <c r="N130" s="2159"/>
      <c r="O130" s="2159"/>
      <c r="P130" s="2160"/>
      <c r="Q130" s="2153"/>
      <c r="R130" s="2140"/>
      <c r="S130" s="2140"/>
      <c r="T130" s="2140"/>
      <c r="U130" s="2140"/>
      <c r="V130" s="2140"/>
      <c r="W130" s="2140"/>
      <c r="X130" s="2140"/>
      <c r="Y130" s="2140"/>
      <c r="Z130" s="2140"/>
      <c r="AA130" s="2140"/>
      <c r="AB130" s="2140"/>
      <c r="AC130" s="2140"/>
    </row>
    <row r="131" spans="1:29" ht="15.75" thickBot="1">
      <c r="A131" s="888"/>
      <c r="B131" s="695"/>
      <c r="C131" s="696"/>
      <c r="D131" s="696"/>
      <c r="E131" s="696"/>
      <c r="F131" s="696"/>
      <c r="G131" s="722"/>
      <c r="H131" s="722"/>
      <c r="I131" s="722"/>
      <c r="J131" s="722"/>
      <c r="K131" s="722"/>
      <c r="L131" s="722"/>
      <c r="M131" s="723"/>
      <c r="N131" s="2161"/>
      <c r="O131" s="2161"/>
      <c r="P131" s="2160"/>
      <c r="Q131" s="2153"/>
      <c r="R131" s="2140"/>
      <c r="S131" s="2140"/>
      <c r="T131" s="2140"/>
      <c r="U131" s="2140"/>
      <c r="V131" s="2140"/>
      <c r="W131" s="2140"/>
      <c r="X131" s="2140"/>
      <c r="Y131" s="2140"/>
      <c r="Z131" s="2140"/>
      <c r="AA131" s="2140"/>
      <c r="AB131" s="2140"/>
      <c r="AC131" s="2140"/>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c r="A256" s="2174"/>
      <c r="B256" s="2174"/>
      <c r="C256" s="2174"/>
      <c r="D256" s="2174"/>
      <c r="E256" s="2174"/>
      <c r="F256" s="2174"/>
      <c r="G256" s="2174"/>
      <c r="H256" s="2174"/>
      <c r="I256" s="2174"/>
      <c r="J256" s="2174"/>
      <c r="K256" s="2175"/>
      <c r="L256" s="2176"/>
      <c r="M256" s="2174"/>
      <c r="N256" s="2174"/>
      <c r="O256" s="2174"/>
      <c r="P256" s="2174"/>
      <c r="Q256" s="2174"/>
      <c r="R256" s="2174"/>
      <c r="S256" s="2174"/>
      <c r="T256" s="2174"/>
      <c r="U256" s="2174"/>
      <c r="V256" s="2174"/>
      <c r="W256" s="2174"/>
      <c r="X256" s="2174"/>
      <c r="Y256" s="2174"/>
      <c r="Z256" s="2174"/>
      <c r="AA256" s="2174"/>
      <c r="AB256" s="2174"/>
      <c r="AC256" s="2174"/>
    </row>
    <row r="257" spans="1:29">
      <c r="A257" s="2174"/>
      <c r="B257" s="2174"/>
      <c r="C257" s="2174"/>
      <c r="D257" s="2174"/>
      <c r="E257" s="2174"/>
      <c r="F257" s="2174"/>
      <c r="G257" s="2174"/>
      <c r="H257" s="2174"/>
      <c r="I257" s="2174"/>
      <c r="J257" s="2174"/>
      <c r="K257" s="2175"/>
      <c r="L257" s="2176"/>
      <c r="M257" s="2174"/>
      <c r="N257" s="2174"/>
      <c r="O257" s="2174"/>
      <c r="P257" s="2174"/>
      <c r="Q257" s="2174"/>
      <c r="R257" s="2174"/>
      <c r="S257" s="2174"/>
      <c r="T257" s="2174"/>
      <c r="U257" s="2174"/>
      <c r="V257" s="2174"/>
      <c r="W257" s="2174"/>
      <c r="X257" s="2174"/>
      <c r="Y257" s="2174"/>
      <c r="Z257" s="2174"/>
      <c r="AA257" s="2174"/>
      <c r="AB257" s="2174"/>
      <c r="AC257" s="2174"/>
    </row>
    <row r="258" spans="1:29">
      <c r="A258" s="2174"/>
      <c r="B258" s="2174"/>
      <c r="C258" s="2174"/>
      <c r="D258" s="2174"/>
      <c r="E258" s="2174"/>
      <c r="F258" s="2174"/>
      <c r="G258" s="2174"/>
      <c r="H258" s="2174"/>
      <c r="I258" s="2174"/>
      <c r="J258" s="2174"/>
      <c r="K258" s="2175"/>
      <c r="L258" s="2176"/>
      <c r="M258" s="2174"/>
      <c r="N258" s="2174"/>
      <c r="O258" s="2174"/>
      <c r="P258" s="2174"/>
      <c r="Q258" s="2174"/>
      <c r="R258" s="2174"/>
      <c r="S258" s="2174"/>
      <c r="T258" s="2174"/>
      <c r="U258" s="2174"/>
      <c r="V258" s="2174"/>
      <c r="W258" s="2174"/>
      <c r="X258" s="2174"/>
      <c r="Y258" s="2174"/>
      <c r="Z258" s="2174"/>
      <c r="AA258" s="2174"/>
      <c r="AB258" s="2174"/>
      <c r="AC258" s="2174"/>
    </row>
    <row r="259" spans="1:29">
      <c r="A259" s="2174"/>
      <c r="B259" s="2174"/>
      <c r="C259" s="2174"/>
      <c r="D259" s="2174"/>
      <c r="E259" s="2174"/>
      <c r="F259" s="2174"/>
      <c r="G259" s="2174"/>
      <c r="H259" s="2174"/>
      <c r="I259" s="2174"/>
      <c r="J259" s="2174"/>
      <c r="K259" s="2175"/>
      <c r="L259" s="2176"/>
      <c r="M259" s="2174"/>
      <c r="N259" s="2174"/>
      <c r="O259" s="2174"/>
      <c r="P259" s="2174"/>
      <c r="Q259" s="2174"/>
      <c r="R259" s="2174"/>
      <c r="S259" s="2174"/>
      <c r="T259" s="2174"/>
      <c r="U259" s="2174"/>
      <c r="V259" s="2174"/>
      <c r="W259" s="2174"/>
      <c r="X259" s="2174"/>
      <c r="Y259" s="2174"/>
      <c r="Z259" s="2174"/>
      <c r="AA259" s="2174"/>
      <c r="AB259" s="2174"/>
      <c r="AC259" s="2174"/>
    </row>
    <row r="260" spans="1:29">
      <c r="A260" s="2174"/>
      <c r="B260" s="2174"/>
      <c r="C260" s="2174"/>
      <c r="D260" s="2174"/>
      <c r="E260" s="2174"/>
      <c r="F260" s="2174"/>
      <c r="G260" s="2174"/>
      <c r="H260" s="2174"/>
      <c r="I260" s="2174"/>
      <c r="J260" s="2174"/>
      <c r="K260" s="2175"/>
      <c r="L260" s="2176"/>
      <c r="M260" s="2174"/>
      <c r="N260" s="2174"/>
      <c r="O260" s="2174"/>
      <c r="P260" s="2174"/>
      <c r="Q260" s="2174"/>
      <c r="R260" s="2174"/>
      <c r="S260" s="2174"/>
      <c r="T260" s="2174"/>
      <c r="U260" s="2174"/>
      <c r="V260" s="2174"/>
      <c r="W260" s="2174"/>
      <c r="X260" s="2174"/>
      <c r="Y260" s="2174"/>
      <c r="Z260" s="2174"/>
      <c r="AA260" s="2174"/>
      <c r="AB260" s="2174"/>
      <c r="AC260" s="2174"/>
    </row>
    <row r="261" spans="1:29">
      <c r="A261" s="2174"/>
      <c r="B261" s="2174"/>
      <c r="C261" s="2174"/>
      <c r="D261" s="2174"/>
      <c r="E261" s="2174"/>
      <c r="F261" s="2174"/>
      <c r="G261" s="2174"/>
      <c r="H261" s="2174"/>
      <c r="I261" s="2174"/>
      <c r="J261" s="2174"/>
      <c r="K261" s="2175"/>
      <c r="L261" s="2176"/>
      <c r="M261" s="2174"/>
      <c r="N261" s="2174"/>
      <c r="O261" s="2174"/>
      <c r="P261" s="2174"/>
      <c r="Q261" s="2174"/>
      <c r="R261" s="2174"/>
      <c r="S261" s="2174"/>
      <c r="T261" s="2174"/>
      <c r="U261" s="2174"/>
      <c r="V261" s="2174"/>
      <c r="W261" s="2174"/>
      <c r="X261" s="2174"/>
      <c r="Y261" s="2174"/>
      <c r="Z261" s="2174"/>
      <c r="AA261" s="2174"/>
      <c r="AB261" s="2174"/>
      <c r="AC261" s="2174"/>
    </row>
    <row r="262" spans="1:29">
      <c r="A262" s="2174"/>
      <c r="B262" s="2174"/>
      <c r="C262" s="2174"/>
      <c r="D262" s="2174"/>
      <c r="E262" s="2174"/>
      <c r="F262" s="2174"/>
      <c r="G262" s="2174"/>
      <c r="H262" s="2174"/>
      <c r="I262" s="2174"/>
      <c r="J262" s="2174"/>
      <c r="K262" s="2175"/>
      <c r="L262" s="2176"/>
      <c r="M262" s="2174"/>
      <c r="N262" s="2174"/>
      <c r="O262" s="2174"/>
      <c r="P262" s="2174"/>
      <c r="Q262" s="2174"/>
      <c r="R262" s="2174"/>
      <c r="S262" s="2174"/>
      <c r="T262" s="2174"/>
      <c r="U262" s="2174"/>
      <c r="V262" s="2174"/>
      <c r="W262" s="2174"/>
      <c r="X262" s="2174"/>
      <c r="Y262" s="2174"/>
      <c r="Z262" s="2174"/>
      <c r="AA262" s="2174"/>
      <c r="AB262" s="2174"/>
      <c r="AC262" s="2174"/>
    </row>
    <row r="263" spans="1:29">
      <c r="A263" s="2174"/>
      <c r="B263" s="2174"/>
      <c r="C263" s="2174"/>
      <c r="D263" s="2174"/>
      <c r="E263" s="2174"/>
      <c r="F263" s="2174"/>
      <c r="G263" s="2174"/>
      <c r="H263" s="2174"/>
      <c r="I263" s="2174"/>
      <c r="J263" s="2174"/>
      <c r="K263" s="2175"/>
      <c r="L263" s="2176"/>
      <c r="M263" s="2174"/>
      <c r="N263" s="2174"/>
      <c r="O263" s="2174"/>
      <c r="P263" s="2174"/>
      <c r="Q263" s="2174"/>
      <c r="R263" s="2174"/>
      <c r="S263" s="2174"/>
      <c r="T263" s="2174"/>
      <c r="U263" s="2174"/>
      <c r="V263" s="2174"/>
      <c r="W263" s="2174"/>
      <c r="X263" s="2174"/>
      <c r="Y263" s="2174"/>
      <c r="Z263" s="2174"/>
      <c r="AA263" s="2174"/>
      <c r="AB263" s="2174"/>
      <c r="AC263" s="2174"/>
    </row>
    <row r="264" spans="1:29">
      <c r="A264" s="2174"/>
      <c r="B264" s="2174"/>
      <c r="C264" s="2174"/>
      <c r="D264" s="2174"/>
      <c r="E264" s="2174"/>
      <c r="F264" s="2174"/>
      <c r="G264" s="2174"/>
      <c r="H264" s="2174"/>
      <c r="I264" s="2174"/>
      <c r="J264" s="2174"/>
      <c r="K264" s="2175"/>
      <c r="L264" s="2176"/>
      <c r="M264" s="2174"/>
      <c r="N264" s="2174"/>
      <c r="O264" s="2174"/>
      <c r="P264" s="2174"/>
      <c r="Q264" s="2174"/>
      <c r="R264" s="2174"/>
      <c r="S264" s="2174"/>
      <c r="T264" s="2174"/>
      <c r="U264" s="2174"/>
      <c r="V264" s="2174"/>
      <c r="W264" s="2174"/>
      <c r="X264" s="2174"/>
      <c r="Y264" s="2174"/>
      <c r="Z264" s="2174"/>
      <c r="AA264" s="2174"/>
      <c r="AB264" s="2174"/>
      <c r="AC264" s="2174"/>
    </row>
    <row r="265" spans="1:29">
      <c r="A265" s="2174"/>
      <c r="B265" s="2174"/>
      <c r="C265" s="2174"/>
      <c r="D265" s="2174"/>
      <c r="E265" s="2174"/>
      <c r="F265" s="2174"/>
      <c r="G265" s="2174"/>
      <c r="H265" s="2174"/>
      <c r="I265" s="2174"/>
      <c r="J265" s="2174"/>
      <c r="K265" s="2175"/>
      <c r="L265" s="2176"/>
      <c r="M265" s="2174"/>
      <c r="N265" s="2174"/>
      <c r="O265" s="2174"/>
      <c r="P265" s="2174"/>
      <c r="Q265" s="2174"/>
      <c r="R265" s="2174"/>
      <c r="S265" s="2174"/>
      <c r="T265" s="2174"/>
      <c r="U265" s="2174"/>
      <c r="V265" s="2174"/>
      <c r="W265" s="2174"/>
      <c r="X265" s="2174"/>
      <c r="Y265" s="2174"/>
      <c r="Z265" s="2174"/>
      <c r="AA265" s="2174"/>
      <c r="AB265" s="2174"/>
      <c r="AC265" s="2174"/>
    </row>
    <row r="266" spans="1:29">
      <c r="A266" s="2174"/>
      <c r="B266" s="2174"/>
      <c r="C266" s="2174"/>
      <c r="D266" s="2174"/>
      <c r="E266" s="2174"/>
      <c r="F266" s="2174"/>
      <c r="G266" s="2174"/>
      <c r="H266" s="2174"/>
      <c r="I266" s="2174"/>
      <c r="J266" s="2174"/>
      <c r="K266" s="2175"/>
      <c r="L266" s="2176"/>
      <c r="M266" s="2174"/>
      <c r="N266" s="2174"/>
      <c r="O266" s="2174"/>
      <c r="P266" s="2174"/>
      <c r="Q266" s="2174"/>
      <c r="R266" s="2174"/>
      <c r="S266" s="2174"/>
      <c r="T266" s="2174"/>
      <c r="U266" s="2174"/>
      <c r="V266" s="2174"/>
      <c r="W266" s="2174"/>
      <c r="X266" s="2174"/>
      <c r="Y266" s="2174"/>
      <c r="Z266" s="2174"/>
      <c r="AA266" s="2174"/>
      <c r="AB266" s="2174"/>
      <c r="AC266" s="2174"/>
    </row>
    <row r="267" spans="1:29">
      <c r="A267" s="2174"/>
      <c r="B267" s="2174"/>
      <c r="C267" s="2174"/>
      <c r="D267" s="2174"/>
      <c r="E267" s="2174"/>
      <c r="F267" s="2174"/>
      <c r="G267" s="2174"/>
      <c r="H267" s="2174"/>
      <c r="I267" s="2174"/>
      <c r="J267" s="2174"/>
      <c r="K267" s="2175"/>
      <c r="L267" s="2176"/>
      <c r="M267" s="2174"/>
      <c r="N267" s="2174"/>
      <c r="O267" s="2174"/>
      <c r="P267" s="2174"/>
      <c r="Q267" s="2174"/>
      <c r="R267" s="2174"/>
      <c r="S267" s="2174"/>
      <c r="T267" s="2174"/>
      <c r="U267" s="2174"/>
      <c r="V267" s="2174"/>
      <c r="W267" s="2174"/>
      <c r="X267" s="2174"/>
      <c r="Y267" s="2174"/>
      <c r="Z267" s="2174"/>
      <c r="AA267" s="2174"/>
      <c r="AB267" s="2174"/>
      <c r="AC267" s="2174"/>
    </row>
    <row r="268" spans="1:29">
      <c r="A268" s="2174"/>
      <c r="B268" s="2174"/>
      <c r="C268" s="2174"/>
      <c r="D268" s="2174"/>
      <c r="E268" s="2174"/>
      <c r="F268" s="2174"/>
      <c r="G268" s="2174"/>
      <c r="H268" s="2174"/>
      <c r="I268" s="2174"/>
      <c r="J268" s="2174"/>
      <c r="K268" s="2175"/>
      <c r="L268" s="2176"/>
      <c r="M268" s="2174"/>
      <c r="N268" s="2174"/>
      <c r="O268" s="2174"/>
      <c r="P268" s="2174"/>
      <c r="Q268" s="2174"/>
      <c r="R268" s="2174"/>
      <c r="S268" s="2174"/>
      <c r="T268" s="2174"/>
      <c r="U268" s="2174"/>
      <c r="V268" s="2174"/>
      <c r="W268" s="2174"/>
      <c r="X268" s="2174"/>
      <c r="Y268" s="2174"/>
      <c r="Z268" s="2174"/>
      <c r="AA268" s="2174"/>
      <c r="AB268" s="2174"/>
      <c r="AC268" s="2174"/>
    </row>
    <row r="269" spans="1:29">
      <c r="A269" s="2174"/>
      <c r="B269" s="2174"/>
      <c r="C269" s="2174"/>
      <c r="D269" s="2174"/>
      <c r="E269" s="2174"/>
      <c r="F269" s="2174"/>
      <c r="G269" s="2174"/>
      <c r="H269" s="2174"/>
      <c r="I269" s="2174"/>
      <c r="J269" s="2174"/>
      <c r="K269" s="2175"/>
      <c r="L269" s="2176"/>
      <c r="M269" s="2174"/>
      <c r="N269" s="2174"/>
      <c r="O269" s="2174"/>
      <c r="P269" s="2174"/>
      <c r="Q269" s="2174"/>
      <c r="R269" s="2174"/>
      <c r="S269" s="2174"/>
      <c r="T269" s="2174"/>
      <c r="U269" s="2174"/>
      <c r="V269" s="2174"/>
      <c r="W269" s="2174"/>
      <c r="X269" s="2174"/>
      <c r="Y269" s="2174"/>
      <c r="Z269" s="2174"/>
      <c r="AA269" s="2174"/>
      <c r="AB269" s="2174"/>
      <c r="AC269" s="2174"/>
    </row>
    <row r="270" spans="1:29">
      <c r="A270" s="2174"/>
      <c r="B270" s="2174"/>
      <c r="C270" s="2174"/>
      <c r="D270" s="2174"/>
      <c r="E270" s="2174"/>
      <c r="F270" s="2174"/>
      <c r="G270" s="2174"/>
      <c r="H270" s="2174"/>
      <c r="I270" s="2174"/>
      <c r="J270" s="2174"/>
      <c r="K270" s="2175"/>
      <c r="L270" s="2176"/>
      <c r="M270" s="2174"/>
      <c r="N270" s="2174"/>
      <c r="O270" s="2174"/>
      <c r="P270" s="2174"/>
      <c r="Q270" s="2174"/>
      <c r="R270" s="2174"/>
      <c r="S270" s="2174"/>
      <c r="T270" s="2174"/>
      <c r="U270" s="2174"/>
      <c r="V270" s="2174"/>
      <c r="W270" s="2174"/>
      <c r="X270" s="2174"/>
      <c r="Y270" s="2174"/>
      <c r="Z270" s="2174"/>
      <c r="AA270" s="2174"/>
      <c r="AB270" s="2174"/>
      <c r="AC270" s="2174"/>
    </row>
    <row r="271" spans="1:29">
      <c r="A271" s="2174"/>
      <c r="B271" s="2174"/>
      <c r="C271" s="2174"/>
      <c r="D271" s="2174"/>
      <c r="E271" s="2174"/>
      <c r="F271" s="2174"/>
      <c r="G271" s="2174"/>
      <c r="H271" s="2174"/>
      <c r="I271" s="2174"/>
      <c r="J271" s="2174"/>
      <c r="K271" s="2175"/>
      <c r="L271" s="2176"/>
      <c r="M271" s="2174"/>
      <c r="N271" s="2174"/>
      <c r="O271" s="2174"/>
      <c r="P271" s="2174"/>
      <c r="Q271" s="2174"/>
      <c r="R271" s="2174"/>
      <c r="S271" s="2174"/>
      <c r="T271" s="2174"/>
      <c r="U271" s="2174"/>
      <c r="V271" s="2174"/>
      <c r="W271" s="2174"/>
      <c r="X271" s="2174"/>
      <c r="Y271" s="2174"/>
      <c r="Z271" s="2174"/>
      <c r="AA271" s="2174"/>
      <c r="AB271" s="2174"/>
      <c r="AC271" s="2174"/>
    </row>
    <row r="272" spans="1:29">
      <c r="A272" s="2174"/>
      <c r="B272" s="2174"/>
      <c r="C272" s="2174"/>
      <c r="D272" s="2174"/>
      <c r="E272" s="2174"/>
      <c r="F272" s="2174"/>
      <c r="G272" s="2174"/>
      <c r="H272" s="2174"/>
      <c r="I272" s="2174"/>
      <c r="J272" s="2174"/>
      <c r="K272" s="2175"/>
      <c r="L272" s="2176"/>
      <c r="M272" s="2174"/>
      <c r="N272" s="2174"/>
      <c r="O272" s="2174"/>
      <c r="P272" s="2174"/>
      <c r="Q272" s="2174"/>
      <c r="R272" s="2174"/>
      <c r="S272" s="2174"/>
      <c r="T272" s="2174"/>
      <c r="U272" s="2174"/>
      <c r="V272" s="2174"/>
      <c r="W272" s="2174"/>
      <c r="X272" s="2174"/>
      <c r="Y272" s="2174"/>
      <c r="Z272" s="2174"/>
      <c r="AA272" s="2174"/>
      <c r="AB272" s="2174"/>
      <c r="AC272" s="2174"/>
    </row>
    <row r="273" spans="1:29">
      <c r="A273" s="2174"/>
      <c r="B273" s="2174"/>
      <c r="C273" s="2174"/>
      <c r="D273" s="2174"/>
      <c r="E273" s="2174"/>
      <c r="F273" s="2174"/>
      <c r="G273" s="2174"/>
      <c r="H273" s="2174"/>
      <c r="I273" s="2174"/>
      <c r="J273" s="2174"/>
      <c r="K273" s="2175"/>
      <c r="L273" s="2176"/>
      <c r="M273" s="2174"/>
      <c r="N273" s="2174"/>
      <c r="O273" s="2174"/>
      <c r="P273" s="2174"/>
      <c r="Q273" s="2174"/>
      <c r="R273" s="2174"/>
      <c r="S273" s="2174"/>
      <c r="T273" s="2174"/>
      <c r="U273" s="2174"/>
      <c r="V273" s="2174"/>
      <c r="W273" s="2174"/>
      <c r="X273" s="2174"/>
      <c r="Y273" s="2174"/>
      <c r="Z273" s="2174"/>
      <c r="AA273" s="2174"/>
      <c r="AB273" s="2174"/>
      <c r="AC273" s="2174"/>
    </row>
    <row r="274" spans="1:29">
      <c r="A274" s="2174"/>
      <c r="B274" s="2174"/>
      <c r="C274" s="2174"/>
      <c r="D274" s="2174"/>
      <c r="E274" s="2174"/>
      <c r="F274" s="2174"/>
      <c r="G274" s="2174"/>
      <c r="H274" s="2174"/>
      <c r="I274" s="2174"/>
      <c r="J274" s="2174"/>
      <c r="K274" s="2175"/>
      <c r="L274" s="2176"/>
      <c r="M274" s="2174"/>
      <c r="N274" s="2174"/>
      <c r="O274" s="2174"/>
      <c r="P274" s="2174"/>
      <c r="Q274" s="2174"/>
      <c r="R274" s="2174"/>
      <c r="S274" s="2174"/>
      <c r="T274" s="2174"/>
      <c r="U274" s="2174"/>
      <c r="V274" s="2174"/>
      <c r="W274" s="2174"/>
      <c r="X274" s="2174"/>
      <c r="Y274" s="2174"/>
      <c r="Z274" s="2174"/>
      <c r="AA274" s="2174"/>
      <c r="AB274" s="2174"/>
      <c r="AC274" s="2174"/>
    </row>
    <row r="275" spans="1:29">
      <c r="A275" s="2174"/>
      <c r="B275" s="2174"/>
      <c r="C275" s="2174"/>
      <c r="D275" s="2174"/>
      <c r="E275" s="2174"/>
      <c r="F275" s="2174"/>
      <c r="G275" s="2174"/>
      <c r="H275" s="2174"/>
      <c r="I275" s="2174"/>
      <c r="J275" s="2174"/>
      <c r="K275" s="2175"/>
      <c r="L275" s="2176"/>
      <c r="M275" s="2174"/>
      <c r="N275" s="2174"/>
      <c r="O275" s="2174"/>
      <c r="P275" s="2174"/>
      <c r="Q275" s="2174"/>
      <c r="R275" s="2174"/>
      <c r="S275" s="2174"/>
      <c r="T275" s="2174"/>
      <c r="U275" s="2174"/>
      <c r="V275" s="2174"/>
      <c r="W275" s="2174"/>
      <c r="X275" s="2174"/>
      <c r="Y275" s="2174"/>
      <c r="Z275" s="2174"/>
      <c r="AA275" s="2174"/>
      <c r="AB275" s="2174"/>
      <c r="AC275" s="2174"/>
    </row>
    <row r="276" spans="1:29">
      <c r="A276" s="2174"/>
      <c r="B276" s="2174"/>
      <c r="C276" s="2174"/>
      <c r="D276" s="2174"/>
      <c r="E276" s="2174"/>
      <c r="F276" s="2174"/>
      <c r="G276" s="2174"/>
      <c r="H276" s="2174"/>
      <c r="I276" s="2174"/>
      <c r="J276" s="2174"/>
      <c r="K276" s="2175"/>
      <c r="L276" s="2176"/>
      <c r="M276" s="2174"/>
      <c r="N276" s="2174"/>
      <c r="O276" s="2174"/>
      <c r="P276" s="2174"/>
      <c r="Q276" s="2174"/>
      <c r="R276" s="2174"/>
      <c r="S276" s="2174"/>
      <c r="T276" s="2174"/>
      <c r="U276" s="2174"/>
      <c r="V276" s="2174"/>
      <c r="W276" s="2174"/>
      <c r="X276" s="2174"/>
      <c r="Y276" s="2174"/>
      <c r="Z276" s="2174"/>
      <c r="AA276" s="2174"/>
      <c r="AB276" s="2174"/>
      <c r="AC276" s="2174"/>
    </row>
    <row r="277" spans="1:29">
      <c r="A277" s="2174"/>
      <c r="B277" s="2174"/>
      <c r="C277" s="2174"/>
      <c r="D277" s="2174"/>
      <c r="E277" s="2174"/>
      <c r="F277" s="2174"/>
      <c r="G277" s="2174"/>
      <c r="H277" s="2174"/>
      <c r="I277" s="2174"/>
      <c r="J277" s="2174"/>
      <c r="K277" s="2175"/>
      <c r="L277" s="2176"/>
      <c r="M277" s="2174"/>
      <c r="N277" s="2174"/>
      <c r="O277" s="2174"/>
      <c r="P277" s="2174"/>
      <c r="Q277" s="2174"/>
      <c r="R277" s="2174"/>
      <c r="S277" s="2174"/>
      <c r="T277" s="2174"/>
      <c r="U277" s="2174"/>
      <c r="V277" s="2174"/>
      <c r="W277" s="2174"/>
      <c r="X277" s="2174"/>
      <c r="Y277" s="2174"/>
      <c r="Z277" s="2174"/>
      <c r="AA277" s="2174"/>
      <c r="AB277" s="2174"/>
      <c r="AC277" s="2174"/>
    </row>
    <row r="278" spans="1:29">
      <c r="A278" s="2174"/>
      <c r="B278" s="2174"/>
      <c r="C278" s="2174"/>
      <c r="D278" s="2174"/>
      <c r="E278" s="2174"/>
      <c r="F278" s="2174"/>
      <c r="G278" s="2174"/>
      <c r="H278" s="2174"/>
      <c r="I278" s="2174"/>
      <c r="J278" s="2174"/>
      <c r="K278" s="2175"/>
      <c r="L278" s="2176"/>
      <c r="M278" s="2174"/>
      <c r="N278" s="2174"/>
      <c r="O278" s="2174"/>
      <c r="P278" s="2174"/>
      <c r="Q278" s="2174"/>
      <c r="R278" s="2174"/>
      <c r="S278" s="2174"/>
      <c r="T278" s="2174"/>
      <c r="U278" s="2174"/>
      <c r="V278" s="2174"/>
      <c r="W278" s="2174"/>
      <c r="X278" s="2174"/>
      <c r="Y278" s="2174"/>
      <c r="Z278" s="2174"/>
      <c r="AA278" s="2174"/>
      <c r="AB278" s="2174"/>
      <c r="AC278" s="2174"/>
    </row>
    <row r="279" spans="1:29">
      <c r="A279" s="2174"/>
      <c r="B279" s="2174"/>
      <c r="C279" s="2174"/>
      <c r="D279" s="2174"/>
      <c r="E279" s="2174"/>
      <c r="F279" s="2174"/>
      <c r="G279" s="2174"/>
      <c r="H279" s="2174"/>
      <c r="I279" s="2174"/>
      <c r="J279" s="2174"/>
      <c r="K279" s="2175"/>
      <c r="L279" s="2176"/>
      <c r="M279" s="2174"/>
      <c r="N279" s="2174"/>
      <c r="O279" s="2174"/>
      <c r="P279" s="2174"/>
      <c r="Q279" s="2174"/>
      <c r="R279" s="2174"/>
      <c r="S279" s="2174"/>
      <c r="T279" s="2174"/>
      <c r="U279" s="2174"/>
      <c r="V279" s="2174"/>
      <c r="W279" s="2174"/>
      <c r="X279" s="2174"/>
      <c r="Y279" s="2174"/>
      <c r="Z279" s="2174"/>
      <c r="AA279" s="2174"/>
      <c r="AB279" s="2174"/>
      <c r="AC279" s="2174"/>
    </row>
    <row r="280" spans="1:29">
      <c r="A280" s="2174"/>
      <c r="B280" s="2174"/>
      <c r="C280" s="2174"/>
      <c r="D280" s="2174"/>
      <c r="E280" s="2174"/>
      <c r="F280" s="2174"/>
      <c r="G280" s="2174"/>
      <c r="H280" s="2174"/>
      <c r="I280" s="2174"/>
      <c r="J280" s="2174"/>
      <c r="K280" s="2175"/>
      <c r="L280" s="2176"/>
      <c r="M280" s="2174"/>
      <c r="N280" s="2174"/>
      <c r="O280" s="2174"/>
      <c r="P280" s="2174"/>
      <c r="Q280" s="2174"/>
      <c r="R280" s="2174"/>
      <c r="S280" s="2174"/>
      <c r="T280" s="2174"/>
      <c r="U280" s="2174"/>
      <c r="V280" s="2174"/>
      <c r="W280" s="2174"/>
      <c r="X280" s="2174"/>
      <c r="Y280" s="2174"/>
      <c r="Z280" s="2174"/>
      <c r="AA280" s="2174"/>
      <c r="AB280" s="2174"/>
      <c r="AC280" s="2174"/>
    </row>
    <row r="281" spans="1:29">
      <c r="A281" s="2174"/>
      <c r="B281" s="2174"/>
      <c r="C281" s="2174"/>
      <c r="D281" s="2174"/>
      <c r="E281" s="2174"/>
      <c r="F281" s="2174"/>
      <c r="G281" s="2174"/>
      <c r="H281" s="2174"/>
      <c r="I281" s="2174"/>
      <c r="J281" s="2174"/>
      <c r="K281" s="2175"/>
      <c r="L281" s="2176"/>
      <c r="M281" s="2174"/>
      <c r="N281" s="2174"/>
      <c r="O281" s="2174"/>
      <c r="P281" s="2174"/>
      <c r="Q281" s="2174"/>
      <c r="R281" s="2174"/>
      <c r="S281" s="2174"/>
      <c r="T281" s="2174"/>
      <c r="U281" s="2174"/>
      <c r="V281" s="2174"/>
      <c r="W281" s="2174"/>
      <c r="X281" s="2174"/>
      <c r="Y281" s="2174"/>
      <c r="Z281" s="2174"/>
      <c r="AA281" s="2174"/>
      <c r="AB281" s="2174"/>
      <c r="AC281" s="2174"/>
    </row>
    <row r="282" spans="1:29">
      <c r="A282" s="2174"/>
      <c r="B282" s="2174"/>
      <c r="C282" s="2174"/>
      <c r="D282" s="2174"/>
      <c r="E282" s="2174"/>
      <c r="F282" s="2174"/>
      <c r="G282" s="2174"/>
      <c r="H282" s="2174"/>
      <c r="I282" s="2174"/>
      <c r="J282" s="2174"/>
      <c r="K282" s="2175"/>
      <c r="L282" s="2176"/>
      <c r="M282" s="2174"/>
      <c r="N282" s="2174"/>
      <c r="O282" s="2174"/>
      <c r="P282" s="2174"/>
      <c r="Q282" s="2174"/>
      <c r="R282" s="2174"/>
      <c r="S282" s="2174"/>
      <c r="T282" s="2174"/>
      <c r="U282" s="2174"/>
      <c r="V282" s="2174"/>
      <c r="W282" s="2174"/>
      <c r="X282" s="2174"/>
      <c r="Y282" s="2174"/>
      <c r="Z282" s="2174"/>
      <c r="AA282" s="2174"/>
      <c r="AB282" s="2174"/>
      <c r="AC282" s="2174"/>
    </row>
    <row r="283" spans="1:29">
      <c r="A283" s="2174"/>
      <c r="B283" s="2174"/>
      <c r="C283" s="2174"/>
      <c r="D283" s="2174"/>
      <c r="E283" s="2174"/>
      <c r="F283" s="2174"/>
      <c r="G283" s="2174"/>
      <c r="H283" s="2174"/>
      <c r="I283" s="2174"/>
      <c r="J283" s="2174"/>
      <c r="K283" s="2175"/>
      <c r="L283" s="2176"/>
      <c r="M283" s="2174"/>
      <c r="N283" s="2174"/>
      <c r="O283" s="2174"/>
      <c r="P283" s="2174"/>
      <c r="Q283" s="2174"/>
      <c r="R283" s="2174"/>
      <c r="S283" s="2174"/>
      <c r="T283" s="2174"/>
      <c r="U283" s="2174"/>
      <c r="V283" s="2174"/>
      <c r="W283" s="2174"/>
      <c r="X283" s="2174"/>
      <c r="Y283" s="2174"/>
      <c r="Z283" s="2174"/>
      <c r="AA283" s="2174"/>
      <c r="AB283" s="2174"/>
      <c r="AC283" s="2174"/>
    </row>
    <row r="284" spans="1:29">
      <c r="A284" s="2174"/>
      <c r="B284" s="2174"/>
      <c r="C284" s="2174"/>
      <c r="D284" s="2174"/>
      <c r="E284" s="2174"/>
      <c r="F284" s="2174"/>
      <c r="G284" s="2174"/>
      <c r="H284" s="2174"/>
      <c r="I284" s="2174"/>
      <c r="J284" s="2174"/>
      <c r="K284" s="2175"/>
      <c r="L284" s="2176"/>
      <c r="M284" s="2174"/>
      <c r="N284" s="2174"/>
      <c r="O284" s="2174"/>
      <c r="P284" s="2174"/>
      <c r="Q284" s="2174"/>
      <c r="R284" s="2174"/>
      <c r="S284" s="2174"/>
      <c r="T284" s="2174"/>
      <c r="U284" s="2174"/>
      <c r="V284" s="2174"/>
      <c r="W284" s="2174"/>
      <c r="X284" s="2174"/>
      <c r="Y284" s="2174"/>
      <c r="Z284" s="2174"/>
      <c r="AA284" s="2174"/>
      <c r="AB284" s="2174"/>
      <c r="AC284" s="2174"/>
    </row>
    <row r="285" spans="1:29">
      <c r="A285" s="2174"/>
      <c r="B285" s="2174"/>
      <c r="C285" s="2174"/>
      <c r="D285" s="2174"/>
      <c r="E285" s="2174"/>
      <c r="F285" s="2174"/>
      <c r="G285" s="2174"/>
      <c r="H285" s="2174"/>
      <c r="I285" s="2174"/>
      <c r="J285" s="2174"/>
      <c r="K285" s="2175"/>
      <c r="L285" s="2176"/>
      <c r="M285" s="2174"/>
      <c r="N285" s="2174"/>
      <c r="O285" s="2174"/>
      <c r="P285" s="2174"/>
      <c r="Q285" s="2174"/>
      <c r="R285" s="2174"/>
      <c r="S285" s="2174"/>
      <c r="T285" s="2174"/>
      <c r="U285" s="2174"/>
      <c r="V285" s="2174"/>
      <c r="W285" s="2174"/>
      <c r="X285" s="2174"/>
      <c r="Y285" s="2174"/>
      <c r="Z285" s="2174"/>
      <c r="AA285" s="2174"/>
      <c r="AB285" s="2174"/>
      <c r="AC285" s="2174"/>
    </row>
    <row r="286" spans="1:29">
      <c r="A286" s="2174"/>
      <c r="B286" s="2174"/>
      <c r="C286" s="2174"/>
      <c r="D286" s="2174"/>
      <c r="E286" s="2174"/>
      <c r="F286" s="2174"/>
      <c r="G286" s="2174"/>
      <c r="H286" s="2174"/>
      <c r="I286" s="2174"/>
      <c r="J286" s="2174"/>
      <c r="K286" s="2175"/>
      <c r="L286" s="2176"/>
      <c r="M286" s="2174"/>
      <c r="N286" s="2174"/>
      <c r="O286" s="2174"/>
      <c r="P286" s="2174"/>
      <c r="Q286" s="2174"/>
      <c r="R286" s="2174"/>
      <c r="S286" s="2174"/>
      <c r="T286" s="2174"/>
      <c r="U286" s="2174"/>
      <c r="V286" s="2174"/>
      <c r="W286" s="2174"/>
      <c r="X286" s="2174"/>
      <c r="Y286" s="2174"/>
      <c r="Z286" s="2174"/>
      <c r="AA286" s="2174"/>
      <c r="AB286" s="2174"/>
      <c r="AC286" s="2174"/>
    </row>
    <row r="287" spans="1:29">
      <c r="A287" s="2174"/>
      <c r="B287" s="2174"/>
      <c r="C287" s="2174"/>
      <c r="D287" s="2174"/>
      <c r="E287" s="2174"/>
      <c r="F287" s="2174"/>
      <c r="G287" s="2174"/>
      <c r="H287" s="2174"/>
      <c r="I287" s="2174"/>
      <c r="J287" s="2174"/>
      <c r="K287" s="2175"/>
      <c r="L287" s="2176"/>
      <c r="M287" s="2174"/>
      <c r="N287" s="2174"/>
      <c r="O287" s="2174"/>
      <c r="P287" s="2174"/>
      <c r="Q287" s="2174"/>
      <c r="R287" s="2174"/>
      <c r="S287" s="2174"/>
      <c r="T287" s="2174"/>
      <c r="U287" s="2174"/>
      <c r="V287" s="2174"/>
      <c r="W287" s="2174"/>
      <c r="X287" s="2174"/>
      <c r="Y287" s="2174"/>
      <c r="Z287" s="2174"/>
      <c r="AA287" s="2174"/>
      <c r="AB287" s="2174"/>
      <c r="AC287" s="2174"/>
    </row>
    <row r="288" spans="1:29">
      <c r="A288" s="2174"/>
      <c r="B288" s="2174"/>
      <c r="C288" s="2174"/>
      <c r="D288" s="2174"/>
      <c r="E288" s="2174"/>
      <c r="F288" s="2174"/>
      <c r="G288" s="2174"/>
      <c r="H288" s="2174"/>
      <c r="I288" s="2174"/>
      <c r="J288" s="2174"/>
      <c r="K288" s="2175"/>
      <c r="L288" s="2176"/>
      <c r="M288" s="2174"/>
      <c r="N288" s="2174"/>
      <c r="O288" s="2174"/>
      <c r="P288" s="2174"/>
      <c r="Q288" s="2174"/>
      <c r="R288" s="2174"/>
      <c r="S288" s="2174"/>
      <c r="T288" s="2174"/>
      <c r="U288" s="2174"/>
      <c r="V288" s="2174"/>
      <c r="W288" s="2174"/>
      <c r="X288" s="2174"/>
      <c r="Y288" s="2174"/>
      <c r="Z288" s="2174"/>
      <c r="AA288" s="2174"/>
      <c r="AB288" s="2174"/>
      <c r="AC288" s="2174"/>
    </row>
    <row r="289" spans="1:29">
      <c r="A289" s="2174"/>
      <c r="B289" s="2174"/>
      <c r="C289" s="2174"/>
      <c r="D289" s="2174"/>
      <c r="E289" s="2174"/>
      <c r="F289" s="2174"/>
      <c r="G289" s="2174"/>
      <c r="H289" s="2174"/>
      <c r="I289" s="2174"/>
      <c r="J289" s="2174"/>
      <c r="K289" s="2175"/>
      <c r="L289" s="2176"/>
      <c r="M289" s="2174"/>
      <c r="N289" s="2174"/>
      <c r="O289" s="2174"/>
      <c r="P289" s="2174"/>
      <c r="Q289" s="2174"/>
      <c r="R289" s="2174"/>
      <c r="S289" s="2174"/>
      <c r="T289" s="2174"/>
      <c r="U289" s="2174"/>
      <c r="V289" s="2174"/>
      <c r="W289" s="2174"/>
      <c r="X289" s="2174"/>
      <c r="Y289" s="2174"/>
      <c r="Z289" s="2174"/>
      <c r="AA289" s="2174"/>
      <c r="AB289" s="2174"/>
      <c r="AC289" s="2174"/>
    </row>
    <row r="290" spans="1:29">
      <c r="A290" s="2174"/>
      <c r="B290" s="2174"/>
      <c r="C290" s="2174"/>
      <c r="D290" s="2174"/>
      <c r="E290" s="2174"/>
      <c r="F290" s="2174"/>
      <c r="G290" s="2174"/>
      <c r="H290" s="2174"/>
      <c r="I290" s="2174"/>
      <c r="J290" s="2174"/>
      <c r="K290" s="2175"/>
      <c r="L290" s="2176"/>
      <c r="M290" s="2174"/>
      <c r="N290" s="2174"/>
      <c r="O290" s="2174"/>
      <c r="P290" s="2174"/>
      <c r="Q290" s="2174"/>
      <c r="R290" s="2174"/>
      <c r="S290" s="2174"/>
      <c r="T290" s="2174"/>
      <c r="U290" s="2174"/>
      <c r="V290" s="2174"/>
      <c r="W290" s="2174"/>
      <c r="X290" s="2174"/>
      <c r="Y290" s="2174"/>
      <c r="Z290" s="2174"/>
      <c r="AA290" s="2174"/>
      <c r="AB290" s="2174"/>
      <c r="AC290" s="2174"/>
    </row>
    <row r="291" spans="1:29">
      <c r="A291" s="2174"/>
      <c r="B291" s="2174"/>
      <c r="C291" s="2174"/>
      <c r="D291" s="2174"/>
      <c r="E291" s="2174"/>
      <c r="F291" s="2174"/>
      <c r="G291" s="2174"/>
      <c r="H291" s="2174"/>
      <c r="I291" s="2174"/>
      <c r="J291" s="2174"/>
      <c r="K291" s="2175"/>
      <c r="L291" s="2176"/>
      <c r="M291" s="2174"/>
      <c r="N291" s="2174"/>
      <c r="O291" s="2174"/>
      <c r="P291" s="2174"/>
      <c r="Q291" s="2174"/>
      <c r="R291" s="2174"/>
      <c r="S291" s="2174"/>
      <c r="T291" s="2174"/>
      <c r="U291" s="2174"/>
      <c r="V291" s="2174"/>
      <c r="W291" s="2174"/>
      <c r="X291" s="2174"/>
      <c r="Y291" s="2174"/>
      <c r="Z291" s="2174"/>
      <c r="AA291" s="2174"/>
      <c r="AB291" s="2174"/>
      <c r="AC291" s="2174"/>
    </row>
    <row r="292" spans="1:29">
      <c r="A292" s="2174"/>
      <c r="B292" s="2174"/>
      <c r="C292" s="2174"/>
      <c r="D292" s="2174"/>
      <c r="E292" s="2174"/>
      <c r="F292" s="2174"/>
      <c r="G292" s="2174"/>
      <c r="H292" s="2174"/>
      <c r="I292" s="2174"/>
      <c r="J292" s="2174"/>
      <c r="K292" s="2175"/>
      <c r="L292" s="2176"/>
      <c r="M292" s="2174"/>
      <c r="N292" s="2174"/>
      <c r="O292" s="2174"/>
      <c r="P292" s="2174"/>
      <c r="Q292" s="2174"/>
      <c r="R292" s="2174"/>
      <c r="S292" s="2174"/>
      <c r="T292" s="2174"/>
      <c r="U292" s="2174"/>
      <c r="V292" s="2174"/>
      <c r="W292" s="2174"/>
      <c r="X292" s="2174"/>
      <c r="Y292" s="2174"/>
      <c r="Z292" s="2174"/>
      <c r="AA292" s="2174"/>
      <c r="AB292" s="2174"/>
      <c r="AC292" s="2174"/>
    </row>
    <row r="293" spans="1:29">
      <c r="A293" s="2174"/>
      <c r="B293" s="2174"/>
      <c r="C293" s="2174"/>
      <c r="D293" s="2174"/>
      <c r="E293" s="2174"/>
      <c r="F293" s="2174"/>
      <c r="G293" s="2174"/>
      <c r="H293" s="2174"/>
      <c r="I293" s="2174"/>
      <c r="J293" s="2174"/>
      <c r="K293" s="2175"/>
      <c r="L293" s="2176"/>
      <c r="M293" s="2174"/>
      <c r="N293" s="2174"/>
      <c r="O293" s="2174"/>
      <c r="P293" s="2174"/>
      <c r="Q293" s="2174"/>
      <c r="R293" s="2174"/>
      <c r="S293" s="2174"/>
      <c r="T293" s="2174"/>
      <c r="U293" s="2174"/>
      <c r="V293" s="2174"/>
      <c r="W293" s="2174"/>
      <c r="X293" s="2174"/>
      <c r="Y293" s="2174"/>
      <c r="Z293" s="2174"/>
      <c r="AA293" s="2174"/>
      <c r="AB293" s="2174"/>
      <c r="AC293" s="2174"/>
    </row>
    <row r="294" spans="1:29">
      <c r="A294" s="2174"/>
      <c r="B294" s="2174"/>
      <c r="C294" s="2174"/>
      <c r="D294" s="2174"/>
      <c r="E294" s="2174"/>
      <c r="F294" s="2174"/>
      <c r="G294" s="2174"/>
      <c r="H294" s="2174"/>
      <c r="I294" s="2174"/>
      <c r="J294" s="2174"/>
      <c r="K294" s="2175"/>
      <c r="L294" s="2176"/>
      <c r="M294" s="2174"/>
      <c r="N294" s="2174"/>
      <c r="O294" s="2174"/>
      <c r="P294" s="2174"/>
      <c r="Q294" s="2174"/>
      <c r="R294" s="2174"/>
      <c r="S294" s="2174"/>
      <c r="T294" s="2174"/>
      <c r="U294" s="2174"/>
      <c r="V294" s="2174"/>
      <c r="W294" s="2174"/>
      <c r="X294" s="2174"/>
      <c r="Y294" s="2174"/>
      <c r="Z294" s="2174"/>
      <c r="AA294" s="2174"/>
      <c r="AB294" s="2174"/>
      <c r="AC294" s="2174"/>
    </row>
    <row r="295" spans="1:29">
      <c r="A295" s="2174"/>
      <c r="B295" s="2174"/>
      <c r="C295" s="2174"/>
      <c r="D295" s="2174"/>
      <c r="E295" s="2174"/>
      <c r="F295" s="2174"/>
      <c r="G295" s="2174"/>
      <c r="H295" s="2174"/>
      <c r="I295" s="2174"/>
      <c r="J295" s="2174"/>
      <c r="K295" s="2175"/>
      <c r="L295" s="2176"/>
      <c r="M295" s="2174"/>
      <c r="N295" s="2174"/>
      <c r="O295" s="2174"/>
      <c r="P295" s="2174"/>
      <c r="Q295" s="2174"/>
      <c r="R295" s="2174"/>
      <c r="S295" s="2174"/>
      <c r="T295" s="2174"/>
      <c r="U295" s="2174"/>
      <c r="V295" s="2174"/>
      <c r="W295" s="2174"/>
      <c r="X295" s="2174"/>
      <c r="Y295" s="2174"/>
      <c r="Z295" s="2174"/>
      <c r="AA295" s="2174"/>
      <c r="AB295" s="2174"/>
      <c r="AC295" s="2174"/>
    </row>
    <row r="296" spans="1:29">
      <c r="A296" s="2174"/>
      <c r="B296" s="2174"/>
      <c r="C296" s="2174"/>
      <c r="D296" s="2174"/>
      <c r="E296" s="2174"/>
      <c r="F296" s="2174"/>
      <c r="G296" s="2174"/>
      <c r="H296" s="2174"/>
      <c r="I296" s="2174"/>
      <c r="J296" s="2174"/>
      <c r="K296" s="2175"/>
      <c r="L296" s="2176"/>
      <c r="M296" s="2174"/>
      <c r="N296" s="2174"/>
      <c r="O296" s="2174"/>
      <c r="P296" s="2174"/>
      <c r="Q296" s="2174"/>
      <c r="R296" s="2174"/>
      <c r="S296" s="2174"/>
      <c r="T296" s="2174"/>
      <c r="U296" s="2174"/>
      <c r="V296" s="2174"/>
      <c r="W296" s="2174"/>
      <c r="X296" s="2174"/>
      <c r="Y296" s="2174"/>
      <c r="Z296" s="2174"/>
      <c r="AA296" s="2174"/>
      <c r="AB296" s="2174"/>
      <c r="AC296" s="2174"/>
    </row>
    <row r="297" spans="1:29">
      <c r="A297" s="2174"/>
      <c r="B297" s="2174"/>
      <c r="C297" s="2174"/>
      <c r="D297" s="2174"/>
      <c r="E297" s="2174"/>
      <c r="F297" s="2174"/>
      <c r="G297" s="2174"/>
      <c r="H297" s="2174"/>
      <c r="I297" s="2174"/>
      <c r="J297" s="2174"/>
      <c r="K297" s="2175"/>
      <c r="L297" s="2176"/>
      <c r="M297" s="2174"/>
      <c r="N297" s="2174"/>
      <c r="O297" s="2174"/>
      <c r="P297" s="2174"/>
      <c r="Q297" s="2174"/>
      <c r="R297" s="2174"/>
      <c r="S297" s="2174"/>
      <c r="T297" s="2174"/>
      <c r="U297" s="2174"/>
      <c r="V297" s="2174"/>
      <c r="W297" s="2174"/>
      <c r="X297" s="2174"/>
      <c r="Y297" s="2174"/>
      <c r="Z297" s="2174"/>
      <c r="AA297" s="2174"/>
      <c r="AB297" s="2174"/>
      <c r="AC297" s="2174"/>
    </row>
    <row r="298" spans="1:29">
      <c r="A298" s="2174"/>
      <c r="B298" s="2174"/>
      <c r="C298" s="2174"/>
      <c r="D298" s="2174"/>
      <c r="E298" s="2174"/>
      <c r="F298" s="2174"/>
      <c r="G298" s="2174"/>
      <c r="H298" s="2174"/>
      <c r="I298" s="2174"/>
      <c r="J298" s="2174"/>
      <c r="K298" s="2175"/>
      <c r="L298" s="2176"/>
      <c r="M298" s="2174"/>
      <c r="N298" s="2174"/>
      <c r="O298" s="2174"/>
      <c r="P298" s="2174"/>
      <c r="Q298" s="2174"/>
      <c r="R298" s="2174"/>
      <c r="S298" s="2174"/>
      <c r="T298" s="2174"/>
      <c r="U298" s="2174"/>
      <c r="V298" s="2174"/>
      <c r="W298" s="2174"/>
      <c r="X298" s="2174"/>
      <c r="Y298" s="2174"/>
      <c r="Z298" s="2174"/>
      <c r="AA298" s="2174"/>
      <c r="AB298" s="2174"/>
      <c r="AC298" s="2174"/>
    </row>
    <row r="299" spans="1:29">
      <c r="A299" s="2174"/>
      <c r="B299" s="2174"/>
      <c r="C299" s="2174"/>
      <c r="D299" s="2174"/>
      <c r="E299" s="2174"/>
      <c r="F299" s="2174"/>
      <c r="G299" s="2174"/>
      <c r="H299" s="2174"/>
      <c r="I299" s="2174"/>
      <c r="J299" s="2174"/>
      <c r="K299" s="2175"/>
      <c r="L299" s="2176"/>
      <c r="M299" s="2174"/>
      <c r="N299" s="2174"/>
      <c r="O299" s="2174"/>
      <c r="P299" s="2174"/>
      <c r="Q299" s="2174"/>
      <c r="R299" s="2174"/>
      <c r="S299" s="2174"/>
      <c r="T299" s="2174"/>
      <c r="U299" s="2174"/>
      <c r="V299" s="2174"/>
      <c r="W299" s="2174"/>
      <c r="X299" s="2174"/>
      <c r="Y299" s="2174"/>
      <c r="Z299" s="2174"/>
      <c r="AA299" s="2174"/>
      <c r="AB299" s="2174"/>
      <c r="AC299" s="2174"/>
    </row>
    <row r="300" spans="1:29">
      <c r="A300" s="2174"/>
      <c r="B300" s="2174"/>
      <c r="C300" s="2174"/>
      <c r="D300" s="2174"/>
      <c r="E300" s="2174"/>
      <c r="F300" s="2174"/>
      <c r="G300" s="2174"/>
      <c r="H300" s="2174"/>
      <c r="I300" s="2174"/>
      <c r="J300" s="2174"/>
      <c r="K300" s="2175"/>
      <c r="L300" s="2176"/>
      <c r="M300" s="2174"/>
      <c r="N300" s="2174"/>
      <c r="O300" s="2174"/>
      <c r="P300" s="2174"/>
      <c r="Q300" s="2174"/>
      <c r="R300" s="2174"/>
      <c r="S300" s="2174"/>
      <c r="T300" s="2174"/>
      <c r="U300" s="2174"/>
      <c r="V300" s="2174"/>
      <c r="W300" s="2174"/>
      <c r="X300" s="2174"/>
      <c r="Y300" s="2174"/>
      <c r="Z300" s="2174"/>
      <c r="AA300" s="2174"/>
      <c r="AB300" s="2174"/>
      <c r="AC300" s="2174"/>
    </row>
    <row r="301" spans="1:29">
      <c r="A301" s="2174"/>
      <c r="B301" s="2174"/>
      <c r="C301" s="2174"/>
      <c r="D301" s="2174"/>
      <c r="E301" s="2174"/>
      <c r="F301" s="2174"/>
      <c r="G301" s="2174"/>
      <c r="H301" s="2174"/>
      <c r="I301" s="2174"/>
      <c r="J301" s="2174"/>
      <c r="K301" s="2175"/>
      <c r="L301" s="2176"/>
      <c r="M301" s="2174"/>
      <c r="N301" s="2174"/>
      <c r="O301" s="2174"/>
      <c r="P301" s="2174"/>
      <c r="Q301" s="2174"/>
      <c r="R301" s="2174"/>
      <c r="S301" s="2174"/>
      <c r="T301" s="2174"/>
      <c r="U301" s="2174"/>
      <c r="V301" s="2174"/>
      <c r="W301" s="2174"/>
      <c r="X301" s="2174"/>
      <c r="Y301" s="2174"/>
      <c r="Z301" s="2174"/>
      <c r="AA301" s="2174"/>
      <c r="AB301" s="2174"/>
      <c r="AC301" s="2174"/>
    </row>
    <row r="302" spans="1:29">
      <c r="A302" s="2174"/>
      <c r="B302" s="2174"/>
      <c r="C302" s="2174"/>
      <c r="D302" s="2174"/>
      <c r="E302" s="2174"/>
      <c r="F302" s="2174"/>
      <c r="G302" s="2174"/>
      <c r="H302" s="2174"/>
      <c r="I302" s="2174"/>
      <c r="J302" s="2174"/>
      <c r="K302" s="2175"/>
      <c r="L302" s="2176"/>
      <c r="M302" s="2174"/>
      <c r="N302" s="2174"/>
      <c r="O302" s="2174"/>
      <c r="P302" s="2174"/>
      <c r="Q302" s="2174"/>
      <c r="R302" s="2174"/>
      <c r="S302" s="2174"/>
      <c r="T302" s="2174"/>
      <c r="U302" s="2174"/>
      <c r="V302" s="2174"/>
      <c r="W302" s="2174"/>
      <c r="X302" s="2174"/>
      <c r="Y302" s="2174"/>
      <c r="Z302" s="2174"/>
      <c r="AA302" s="2174"/>
      <c r="AB302" s="2174"/>
      <c r="AC302" s="2174"/>
    </row>
    <row r="303" spans="1:29">
      <c r="A303" s="2174"/>
      <c r="B303" s="2174"/>
      <c r="C303" s="2174"/>
      <c r="D303" s="2174"/>
      <c r="E303" s="2174"/>
      <c r="F303" s="2174"/>
      <c r="G303" s="2174"/>
      <c r="H303" s="2174"/>
      <c r="I303" s="2174"/>
      <c r="J303" s="2174"/>
      <c r="K303" s="2175"/>
      <c r="L303" s="2176"/>
      <c r="M303" s="2174"/>
      <c r="N303" s="2174"/>
      <c r="O303" s="2174"/>
      <c r="P303" s="2174"/>
      <c r="Q303" s="2174"/>
      <c r="R303" s="2174"/>
      <c r="S303" s="2174"/>
      <c r="T303" s="2174"/>
      <c r="U303" s="2174"/>
      <c r="V303" s="2174"/>
      <c r="W303" s="2174"/>
      <c r="X303" s="2174"/>
      <c r="Y303" s="2174"/>
      <c r="Z303" s="2174"/>
      <c r="AA303" s="2174"/>
      <c r="AB303" s="2174"/>
      <c r="AC303" s="2174"/>
    </row>
    <row r="304" spans="1:29">
      <c r="A304" s="2174"/>
      <c r="B304" s="2174"/>
      <c r="C304" s="2174"/>
      <c r="D304" s="2174"/>
      <c r="E304" s="2174"/>
      <c r="F304" s="2174"/>
      <c r="G304" s="2174"/>
      <c r="H304" s="2174"/>
      <c r="I304" s="2174"/>
      <c r="J304" s="2174"/>
      <c r="K304" s="2175"/>
      <c r="L304" s="2176"/>
      <c r="M304" s="2174"/>
      <c r="N304" s="2174"/>
      <c r="O304" s="2174"/>
      <c r="P304" s="2174"/>
      <c r="Q304" s="2174"/>
      <c r="R304" s="2174"/>
      <c r="S304" s="2174"/>
      <c r="T304" s="2174"/>
      <c r="U304" s="2174"/>
      <c r="V304" s="2174"/>
      <c r="W304" s="2174"/>
      <c r="X304" s="2174"/>
      <c r="Y304" s="2174"/>
      <c r="Z304" s="2174"/>
      <c r="AA304" s="2174"/>
      <c r="AB304" s="2174"/>
      <c r="AC304" s="2174"/>
    </row>
    <row r="305" spans="1:29">
      <c r="A305" s="2174"/>
      <c r="B305" s="2174"/>
      <c r="C305" s="2174"/>
      <c r="D305" s="2174"/>
      <c r="E305" s="2174"/>
      <c r="F305" s="2174"/>
      <c r="G305" s="2174"/>
      <c r="H305" s="2174"/>
      <c r="I305" s="2174"/>
      <c r="J305" s="2174"/>
      <c r="K305" s="2175"/>
      <c r="L305" s="2176"/>
      <c r="M305" s="2174"/>
      <c r="N305" s="2174"/>
      <c r="O305" s="2174"/>
      <c r="P305" s="2174"/>
      <c r="Q305" s="2174"/>
      <c r="R305" s="2174"/>
      <c r="S305" s="2174"/>
      <c r="T305" s="2174"/>
      <c r="U305" s="2174"/>
      <c r="V305" s="2174"/>
      <c r="W305" s="2174"/>
      <c r="X305" s="2174"/>
      <c r="Y305" s="2174"/>
      <c r="Z305" s="2174"/>
      <c r="AA305" s="2174"/>
      <c r="AB305" s="2174"/>
      <c r="AC305" s="2174"/>
    </row>
    <row r="306" spans="1:29">
      <c r="A306" s="2174"/>
      <c r="B306" s="2174"/>
      <c r="C306" s="2174"/>
      <c r="D306" s="2174"/>
      <c r="E306" s="2174"/>
      <c r="F306" s="2174"/>
      <c r="G306" s="2174"/>
      <c r="H306" s="2174"/>
      <c r="I306" s="2174"/>
      <c r="J306" s="2174"/>
      <c r="K306" s="2175"/>
      <c r="L306" s="2176"/>
      <c r="M306" s="2174"/>
      <c r="N306" s="2174"/>
      <c r="O306" s="2174"/>
      <c r="P306" s="2174"/>
      <c r="Q306" s="2174"/>
      <c r="R306" s="2174"/>
      <c r="S306" s="2174"/>
      <c r="T306" s="2174"/>
      <c r="U306" s="2174"/>
      <c r="V306" s="2174"/>
      <c r="W306" s="2174"/>
      <c r="X306" s="2174"/>
      <c r="Y306" s="2174"/>
      <c r="Z306" s="2174"/>
      <c r="AA306" s="2174"/>
      <c r="AB306" s="2174"/>
      <c r="AC306" s="2174"/>
    </row>
    <row r="307" spans="1:29">
      <c r="A307" s="2174"/>
      <c r="B307" s="2174"/>
      <c r="C307" s="2174"/>
      <c r="D307" s="2174"/>
      <c r="E307" s="2174"/>
      <c r="F307" s="2174"/>
      <c r="G307" s="2174"/>
      <c r="H307" s="2174"/>
      <c r="I307" s="2174"/>
      <c r="J307" s="2174"/>
      <c r="K307" s="2175"/>
      <c r="L307" s="2176"/>
      <c r="M307" s="2174"/>
      <c r="N307" s="2174"/>
      <c r="O307" s="2174"/>
      <c r="P307" s="2174"/>
      <c r="Q307" s="2174"/>
      <c r="R307" s="2174"/>
      <c r="S307" s="2174"/>
      <c r="T307" s="2174"/>
      <c r="U307" s="2174"/>
      <c r="V307" s="2174"/>
      <c r="W307" s="2174"/>
      <c r="X307" s="2174"/>
      <c r="Y307" s="2174"/>
      <c r="Z307" s="2174"/>
      <c r="AA307" s="2174"/>
      <c r="AB307" s="2174"/>
      <c r="AC307" s="2174"/>
    </row>
    <row r="308" spans="1:29">
      <c r="A308" s="2174"/>
      <c r="B308" s="2174"/>
      <c r="C308" s="2174"/>
      <c r="D308" s="2174"/>
      <c r="E308" s="2174"/>
      <c r="F308" s="2174"/>
      <c r="G308" s="2174"/>
      <c r="H308" s="2174"/>
      <c r="I308" s="2174"/>
      <c r="J308" s="2174"/>
      <c r="K308" s="2175"/>
      <c r="L308" s="2176"/>
      <c r="M308" s="2174"/>
      <c r="N308" s="2174"/>
      <c r="O308" s="2174"/>
      <c r="P308" s="2174"/>
      <c r="Q308" s="2174"/>
      <c r="R308" s="2174"/>
      <c r="S308" s="2174"/>
      <c r="T308" s="2174"/>
      <c r="U308" s="2174"/>
      <c r="V308" s="2174"/>
      <c r="W308" s="2174"/>
      <c r="X308" s="2174"/>
      <c r="Y308" s="2174"/>
      <c r="Z308" s="2174"/>
      <c r="AA308" s="2174"/>
      <c r="AB308" s="2174"/>
      <c r="AC308" s="2174"/>
    </row>
    <row r="309" spans="1:29">
      <c r="A309" s="2174"/>
      <c r="B309" s="2174"/>
      <c r="C309" s="2174"/>
      <c r="D309" s="2174"/>
      <c r="E309" s="2174"/>
      <c r="F309" s="2174"/>
      <c r="G309" s="2174"/>
      <c r="H309" s="2174"/>
      <c r="I309" s="2174"/>
      <c r="J309" s="2174"/>
      <c r="K309" s="2175"/>
      <c r="L309" s="2176"/>
      <c r="M309" s="2174"/>
      <c r="N309" s="2174"/>
      <c r="O309" s="2174"/>
      <c r="P309" s="2174"/>
      <c r="Q309" s="2174"/>
      <c r="R309" s="2174"/>
      <c r="S309" s="2174"/>
      <c r="T309" s="2174"/>
      <c r="U309" s="2174"/>
      <c r="V309" s="2174"/>
      <c r="W309" s="2174"/>
      <c r="X309" s="2174"/>
      <c r="Y309" s="2174"/>
      <c r="Z309" s="2174"/>
      <c r="AA309" s="2174"/>
      <c r="AB309" s="2174"/>
      <c r="AC309" s="2174"/>
    </row>
    <row r="310" spans="1:29">
      <c r="A310" s="2174"/>
      <c r="B310" s="2174"/>
      <c r="C310" s="2174"/>
      <c r="D310" s="2174"/>
      <c r="E310" s="2174"/>
      <c r="F310" s="2174"/>
      <c r="G310" s="2174"/>
      <c r="H310" s="2174"/>
      <c r="I310" s="2174"/>
      <c r="J310" s="2174"/>
      <c r="K310" s="2175"/>
      <c r="L310" s="2176"/>
      <c r="M310" s="2174"/>
      <c r="N310" s="2174"/>
      <c r="O310" s="2174"/>
      <c r="P310" s="2174"/>
      <c r="Q310" s="2174"/>
      <c r="R310" s="2174"/>
      <c r="S310" s="2174"/>
      <c r="T310" s="2174"/>
      <c r="U310" s="2174"/>
      <c r="V310" s="2174"/>
      <c r="W310" s="2174"/>
      <c r="X310" s="2174"/>
      <c r="Y310" s="2174"/>
      <c r="Z310" s="2174"/>
      <c r="AA310" s="2174"/>
      <c r="AB310" s="2174"/>
      <c r="AC310" s="2174"/>
    </row>
    <row r="311" spans="1:29">
      <c r="A311" s="2174"/>
      <c r="B311" s="2174"/>
      <c r="C311" s="2174"/>
      <c r="D311" s="2174"/>
      <c r="E311" s="2174"/>
      <c r="F311" s="2174"/>
      <c r="G311" s="2174"/>
      <c r="H311" s="2174"/>
      <c r="I311" s="2174"/>
      <c r="J311" s="2174"/>
      <c r="K311" s="2175"/>
      <c r="L311" s="2176"/>
      <c r="M311" s="2174"/>
      <c r="N311" s="2174"/>
      <c r="O311" s="2174"/>
      <c r="P311" s="2174"/>
      <c r="Q311" s="2174"/>
      <c r="R311" s="2174"/>
      <c r="S311" s="2174"/>
      <c r="T311" s="2174"/>
      <c r="U311" s="2174"/>
      <c r="V311" s="2174"/>
      <c r="W311" s="2174"/>
      <c r="X311" s="2174"/>
      <c r="Y311" s="2174"/>
      <c r="Z311" s="2174"/>
      <c r="AA311" s="2174"/>
      <c r="AB311" s="2174"/>
      <c r="AC311" s="2174"/>
    </row>
    <row r="312" spans="1:29">
      <c r="A312" s="2174"/>
      <c r="B312" s="2174"/>
      <c r="C312" s="2174"/>
      <c r="D312" s="2174"/>
      <c r="E312" s="2174"/>
      <c r="F312" s="2174"/>
      <c r="G312" s="2174"/>
      <c r="H312" s="2174"/>
      <c r="I312" s="2174"/>
      <c r="J312" s="2174"/>
      <c r="K312" s="2175"/>
      <c r="L312" s="2176"/>
      <c r="M312" s="2174"/>
      <c r="N312" s="2174"/>
      <c r="O312" s="2174"/>
      <c r="P312" s="2174"/>
      <c r="Q312" s="2174"/>
      <c r="R312" s="2174"/>
      <c r="S312" s="2174"/>
      <c r="T312" s="2174"/>
      <c r="U312" s="2174"/>
      <c r="V312" s="2174"/>
      <c r="W312" s="2174"/>
      <c r="X312" s="2174"/>
      <c r="Y312" s="2174"/>
      <c r="Z312" s="2174"/>
      <c r="AA312" s="2174"/>
      <c r="AB312" s="2174"/>
      <c r="AC312" s="2174"/>
    </row>
    <row r="313" spans="1:29">
      <c r="A313" s="2174"/>
      <c r="B313" s="2174"/>
      <c r="C313" s="2174"/>
      <c r="D313" s="2174"/>
      <c r="E313" s="2174"/>
      <c r="F313" s="2174"/>
      <c r="G313" s="2174"/>
      <c r="H313" s="2174"/>
      <c r="I313" s="2174"/>
      <c r="J313" s="2174"/>
      <c r="K313" s="2175"/>
      <c r="L313" s="2176"/>
      <c r="M313" s="2174"/>
      <c r="N313" s="2174"/>
      <c r="O313" s="2174"/>
      <c r="P313" s="2174"/>
      <c r="Q313" s="2174"/>
      <c r="R313" s="2174"/>
      <c r="S313" s="2174"/>
      <c r="T313" s="2174"/>
      <c r="U313" s="2174"/>
      <c r="V313" s="2174"/>
      <c r="W313" s="2174"/>
      <c r="X313" s="2174"/>
      <c r="Y313" s="2174"/>
      <c r="Z313" s="2174"/>
      <c r="AA313" s="2174"/>
      <c r="AB313" s="2174"/>
      <c r="AC313" s="2174"/>
    </row>
    <row r="314" spans="1:29">
      <c r="A314" s="2174"/>
      <c r="B314" s="2174"/>
      <c r="C314" s="2174"/>
      <c r="D314" s="2174"/>
      <c r="E314" s="2174"/>
      <c r="F314" s="2174"/>
      <c r="G314" s="2174"/>
      <c r="H314" s="2174"/>
      <c r="I314" s="2174"/>
      <c r="J314" s="2174"/>
      <c r="K314" s="2175"/>
      <c r="L314" s="2176"/>
      <c r="M314" s="2174"/>
      <c r="N314" s="2174"/>
      <c r="O314" s="2174"/>
      <c r="P314" s="2174"/>
      <c r="Q314" s="2174"/>
      <c r="R314" s="2174"/>
      <c r="S314" s="2174"/>
      <c r="T314" s="2174"/>
      <c r="U314" s="2174"/>
      <c r="V314" s="2174"/>
      <c r="W314" s="2174"/>
      <c r="X314" s="2174"/>
      <c r="Y314" s="2174"/>
      <c r="Z314" s="2174"/>
      <c r="AA314" s="2174"/>
      <c r="AB314" s="2174"/>
      <c r="AC314" s="2174"/>
    </row>
    <row r="315" spans="1:29">
      <c r="A315" s="2174"/>
      <c r="B315" s="2174"/>
      <c r="C315" s="2174"/>
      <c r="D315" s="2174"/>
      <c r="E315" s="2174"/>
      <c r="F315" s="2174"/>
      <c r="G315" s="2174"/>
      <c r="H315" s="2174"/>
      <c r="I315" s="2174"/>
      <c r="J315" s="2174"/>
      <c r="K315" s="2175"/>
      <c r="L315" s="2176"/>
      <c r="M315" s="2174"/>
      <c r="N315" s="2174"/>
      <c r="O315" s="2174"/>
      <c r="P315" s="2174"/>
      <c r="Q315" s="2174"/>
      <c r="R315" s="2174"/>
      <c r="S315" s="2174"/>
      <c r="T315" s="2174"/>
      <c r="U315" s="2174"/>
      <c r="V315" s="2174"/>
      <c r="W315" s="2174"/>
      <c r="X315" s="2174"/>
      <c r="Y315" s="2174"/>
      <c r="Z315" s="2174"/>
      <c r="AA315" s="2174"/>
      <c r="AB315" s="2174"/>
      <c r="AC315" s="2174"/>
    </row>
    <row r="316" spans="1:29">
      <c r="A316" s="2174"/>
      <c r="B316" s="2174"/>
      <c r="C316" s="2174"/>
      <c r="D316" s="2174"/>
      <c r="E316" s="2174"/>
      <c r="F316" s="2174"/>
      <c r="G316" s="2174"/>
      <c r="H316" s="2174"/>
      <c r="I316" s="2174"/>
      <c r="J316" s="2174"/>
      <c r="K316" s="2175"/>
      <c r="L316" s="2176"/>
      <c r="M316" s="2174"/>
      <c r="N316" s="2174"/>
      <c r="O316" s="2174"/>
      <c r="P316" s="2174"/>
      <c r="Q316" s="2174"/>
      <c r="R316" s="2174"/>
      <c r="S316" s="2174"/>
      <c r="T316" s="2174"/>
      <c r="U316" s="2174"/>
      <c r="V316" s="2174"/>
      <c r="W316" s="2174"/>
      <c r="X316" s="2174"/>
      <c r="Y316" s="2174"/>
      <c r="Z316" s="2174"/>
      <c r="AA316" s="2174"/>
      <c r="AB316" s="2174"/>
      <c r="AC316" s="2174"/>
    </row>
    <row r="317" spans="1:29">
      <c r="A317" s="2174"/>
      <c r="B317" s="2174"/>
      <c r="C317" s="2174"/>
      <c r="D317" s="2174"/>
      <c r="E317" s="2174"/>
      <c r="F317" s="2174"/>
      <c r="G317" s="2174"/>
      <c r="H317" s="2174"/>
      <c r="I317" s="2174"/>
      <c r="J317" s="2174"/>
      <c r="K317" s="2175"/>
      <c r="L317" s="2176"/>
      <c r="M317" s="2174"/>
      <c r="N317" s="2174"/>
      <c r="O317" s="2174"/>
      <c r="P317" s="2174"/>
      <c r="Q317" s="2174"/>
      <c r="R317" s="2174"/>
      <c r="S317" s="2174"/>
      <c r="T317" s="2174"/>
      <c r="U317" s="2174"/>
      <c r="V317" s="2174"/>
      <c r="W317" s="2174"/>
      <c r="X317" s="2174"/>
      <c r="Y317" s="2174"/>
      <c r="Z317" s="2174"/>
      <c r="AA317" s="2174"/>
      <c r="AB317" s="2174"/>
      <c r="AC317" s="2174"/>
    </row>
    <row r="318" spans="1:29">
      <c r="A318" s="2174"/>
      <c r="B318" s="2174"/>
      <c r="C318" s="2174"/>
      <c r="D318" s="2174"/>
      <c r="E318" s="2174"/>
      <c r="F318" s="2174"/>
      <c r="G318" s="2174"/>
      <c r="H318" s="2174"/>
      <c r="I318" s="2174"/>
      <c r="J318" s="2174"/>
      <c r="K318" s="2175"/>
      <c r="L318" s="2176"/>
      <c r="M318" s="2174"/>
      <c r="N318" s="2174"/>
      <c r="O318" s="2174"/>
      <c r="P318" s="2174"/>
      <c r="Q318" s="2174"/>
      <c r="R318" s="2174"/>
      <c r="S318" s="2174"/>
      <c r="T318" s="2174"/>
      <c r="U318" s="2174"/>
      <c r="V318" s="2174"/>
      <c r="W318" s="2174"/>
      <c r="X318" s="2174"/>
      <c r="Y318" s="2174"/>
      <c r="Z318" s="2174"/>
      <c r="AA318" s="2174"/>
      <c r="AB318" s="2174"/>
      <c r="AC318" s="2174"/>
    </row>
    <row r="319" spans="1:29">
      <c r="N319" s="2174"/>
      <c r="O319" s="2174"/>
      <c r="P319" s="2174"/>
      <c r="Q319" s="2174"/>
      <c r="R319" s="2174"/>
      <c r="S319" s="2174"/>
      <c r="T319" s="2174"/>
      <c r="U319" s="2174"/>
      <c r="V319" s="2174"/>
      <c r="W319" s="2174"/>
      <c r="X319" s="2174"/>
      <c r="Y319" s="2174"/>
      <c r="Z319" s="2174"/>
      <c r="AA319" s="2174"/>
      <c r="AB319" s="2174"/>
      <c r="AC319" s="2174"/>
    </row>
    <row r="320" spans="1:29">
      <c r="AC320" s="2174"/>
    </row>
    <row r="321" spans="29:29">
      <c r="AC321" s="2174"/>
    </row>
    <row r="322" spans="29:29">
      <c r="AC322" s="2174"/>
    </row>
    <row r="323" spans="29:29">
      <c r="AC323" s="2174"/>
    </row>
    <row r="324" spans="29:29">
      <c r="AC324" s="2174"/>
    </row>
    <row r="325" spans="29:29">
      <c r="AC325" s="2174"/>
    </row>
    <row r="326" spans="29:29">
      <c r="AC326" s="2174"/>
    </row>
    <row r="327" spans="29:29">
      <c r="AC327" s="2174"/>
    </row>
    <row r="328" spans="29:29">
      <c r="AC328" s="2174"/>
    </row>
    <row r="329" spans="29:29">
      <c r="AC329" s="2174"/>
    </row>
    <row r="330" spans="29:29">
      <c r="AC330" s="2174"/>
    </row>
    <row r="331" spans="29:29">
      <c r="AC331" s="2174"/>
    </row>
    <row r="332" spans="29:29">
      <c r="AC332" s="2174"/>
    </row>
    <row r="333" spans="29:29">
      <c r="AC333" s="2174"/>
    </row>
    <row r="334" spans="29:29">
      <c r="AC334" s="2174"/>
    </row>
    <row r="335" spans="29:29">
      <c r="AC335" s="2174"/>
    </row>
    <row r="336" spans="29:29">
      <c r="AC336" s="2174"/>
    </row>
    <row r="337" spans="29:29">
      <c r="AC337" s="2174"/>
    </row>
    <row r="338" spans="29:29">
      <c r="AC338" s="2174"/>
    </row>
    <row r="339" spans="29:29">
      <c r="AC339" s="2174"/>
    </row>
    <row r="340" spans="29:29">
      <c r="AC340" s="2174"/>
    </row>
    <row r="341" spans="29:29">
      <c r="AC341" s="2174"/>
    </row>
    <row r="342" spans="29:29">
      <c r="AC342" s="2174"/>
    </row>
    <row r="343" spans="29:29">
      <c r="AC343" s="2174"/>
    </row>
    <row r="344" spans="29:29">
      <c r="AC344" s="2174"/>
    </row>
    <row r="345" spans="29:29">
      <c r="AC345" s="2174"/>
    </row>
    <row r="346" spans="29:29">
      <c r="AC346" s="2174"/>
    </row>
    <row r="347" spans="29:29">
      <c r="AC347" s="2174"/>
    </row>
    <row r="348" spans="29:29">
      <c r="AC348" s="2174"/>
    </row>
    <row r="349" spans="29:29">
      <c r="AC349" s="2174"/>
    </row>
    <row r="350" spans="29:29">
      <c r="AC350" s="2174"/>
    </row>
    <row r="351" spans="29:29">
      <c r="AC351" s="2174"/>
    </row>
    <row r="352" spans="29:29">
      <c r="AC352" s="2174"/>
    </row>
    <row r="353" spans="29:29">
      <c r="AC353" s="2174"/>
    </row>
    <row r="354" spans="29:29">
      <c r="AC354" s="2174"/>
    </row>
    <row r="355" spans="29:29">
      <c r="AC355" s="2174"/>
    </row>
    <row r="356" spans="29:29">
      <c r="AC356" s="2174"/>
    </row>
    <row r="357" spans="29:29">
      <c r="AC357" s="2174"/>
    </row>
    <row r="358" spans="29:29">
      <c r="AC358" s="2174"/>
    </row>
    <row r="359" spans="29:29">
      <c r="AC359" s="2174"/>
    </row>
    <row r="360" spans="29:29">
      <c r="AC360" s="2174"/>
    </row>
    <row r="361" spans="29:29">
      <c r="AC361" s="2174"/>
    </row>
    <row r="362" spans="29:29">
      <c r="AC362" s="2174"/>
    </row>
    <row r="363" spans="29:29">
      <c r="AC363" s="2174"/>
    </row>
    <row r="364" spans="29:29">
      <c r="AC364" s="2174"/>
    </row>
    <row r="365" spans="29:29">
      <c r="AC365" s="2174"/>
    </row>
    <row r="366" spans="29:29">
      <c r="AC366" s="2174"/>
    </row>
    <row r="367" spans="29:29">
      <c r="AC367" s="2174"/>
    </row>
    <row r="368" spans="29:29">
      <c r="AC368" s="2174"/>
    </row>
    <row r="369" spans="29:29">
      <c r="AC369" s="2174"/>
    </row>
    <row r="370" spans="29:29">
      <c r="AC370" s="2174"/>
    </row>
    <row r="371" spans="29:29">
      <c r="AC371" s="2174"/>
    </row>
    <row r="372" spans="29:29">
      <c r="AC372" s="2174"/>
    </row>
    <row r="373" spans="29:29">
      <c r="AC373" s="2174"/>
    </row>
    <row r="374" spans="29:29">
      <c r="AC374" s="2174"/>
    </row>
    <row r="375" spans="29:29">
      <c r="AC375" s="2174"/>
    </row>
    <row r="376" spans="29:29">
      <c r="AC376" s="2174"/>
    </row>
    <row r="377" spans="29:29">
      <c r="AC377" s="2174"/>
    </row>
    <row r="378" spans="29:29">
      <c r="AC378" s="2174"/>
    </row>
    <row r="379" spans="29:29">
      <c r="AC379" s="2174"/>
    </row>
    <row r="380" spans="29:29">
      <c r="AC380" s="2174"/>
    </row>
    <row r="381" spans="29:29">
      <c r="AC381" s="2174"/>
    </row>
    <row r="382" spans="29:29">
      <c r="AC382" s="2174"/>
    </row>
    <row r="383" spans="29:29">
      <c r="AC383" s="2174"/>
    </row>
    <row r="384" spans="29:29">
      <c r="AC384" s="2174"/>
    </row>
    <row r="385" spans="29:29">
      <c r="AC385" s="2174"/>
    </row>
    <row r="386" spans="29:29">
      <c r="AC386" s="2174"/>
    </row>
    <row r="387" spans="29:29">
      <c r="AC387" s="2174"/>
    </row>
    <row r="388" spans="29:29">
      <c r="AC388" s="2174"/>
    </row>
    <row r="389" spans="29:29">
      <c r="AC389" s="2174"/>
    </row>
    <row r="390" spans="29:29">
      <c r="AC390" s="2174"/>
    </row>
    <row r="391" spans="29:29">
      <c r="AC391" s="2174"/>
    </row>
    <row r="392" spans="29:29">
      <c r="AC392" s="2174"/>
    </row>
    <row r="393" spans="29:29">
      <c r="AC393" s="2174"/>
    </row>
    <row r="394" spans="29:29">
      <c r="AC394" s="2174"/>
    </row>
    <row r="395" spans="29:29">
      <c r="AC395" s="2174"/>
    </row>
    <row r="396" spans="29:29">
      <c r="AC396" s="2174"/>
    </row>
    <row r="397" spans="29:29">
      <c r="AC397" s="2174"/>
    </row>
    <row r="398" spans="29:29">
      <c r="AC398" s="2174"/>
    </row>
    <row r="399" spans="29:29">
      <c r="AC399" s="2174"/>
    </row>
    <row r="400" spans="29:29">
      <c r="AC400" s="2174"/>
    </row>
    <row r="401" spans="29:29">
      <c r="AC401" s="2174"/>
    </row>
    <row r="402" spans="29:29">
      <c r="AC402" s="2174"/>
    </row>
    <row r="403" spans="29:29">
      <c r="AC403" s="2174"/>
    </row>
    <row r="404" spans="29:29">
      <c r="AC404" s="2174"/>
    </row>
    <row r="405" spans="29:29">
      <c r="AC405" s="2174"/>
    </row>
    <row r="406" spans="29:29">
      <c r="AC406" s="2174"/>
    </row>
    <row r="407" spans="29:29">
      <c r="AC407" s="2174"/>
    </row>
    <row r="408" spans="29:29">
      <c r="AC408" s="2174"/>
    </row>
    <row r="409" spans="29:29">
      <c r="AC409" s="2174"/>
    </row>
    <row r="410" spans="29:29">
      <c r="AC410" s="2174"/>
    </row>
    <row r="411" spans="29:29">
      <c r="AC411" s="2174"/>
    </row>
    <row r="412" spans="29:29">
      <c r="AC412" s="2174"/>
    </row>
    <row r="413" spans="29:29">
      <c r="AC413" s="2174"/>
    </row>
    <row r="414" spans="29:29">
      <c r="AC414" s="2174"/>
    </row>
    <row r="415" spans="29:29">
      <c r="AC415" s="2174"/>
    </row>
    <row r="416" spans="29:29">
      <c r="AC416" s="2174"/>
    </row>
    <row r="417" spans="29:29">
      <c r="AC417" s="2174"/>
    </row>
    <row r="418" spans="29:29">
      <c r="AC418" s="2174"/>
    </row>
    <row r="419" spans="29:29">
      <c r="AC419" s="2174"/>
    </row>
    <row r="420" spans="29:29">
      <c r="AC420" s="2174"/>
    </row>
    <row r="421" spans="29:29">
      <c r="AC421" s="2174"/>
    </row>
    <row r="422" spans="29:29">
      <c r="AC422" s="2174"/>
    </row>
    <row r="423" spans="29:29">
      <c r="AC423" s="2174"/>
    </row>
    <row r="424" spans="29:29">
      <c r="AC424" s="2174"/>
    </row>
    <row r="425" spans="29:29">
      <c r="AC425" s="2174"/>
    </row>
    <row r="426" spans="29:29">
      <c r="AC426" s="2174"/>
    </row>
    <row r="427" spans="29:29">
      <c r="AC427" s="2174"/>
    </row>
    <row r="428" spans="29:29">
      <c r="AC428" s="2174"/>
    </row>
    <row r="429" spans="29:29">
      <c r="AC429" s="2174"/>
    </row>
    <row r="430" spans="29:29">
      <c r="AC430" s="2174"/>
    </row>
    <row r="431" spans="29:29">
      <c r="AC431" s="2174"/>
    </row>
    <row r="432" spans="29:29">
      <c r="AC432" s="2174"/>
    </row>
    <row r="433" spans="29:29">
      <c r="AC433" s="2174"/>
    </row>
    <row r="434" spans="29:29">
      <c r="AC434" s="2174"/>
    </row>
    <row r="435" spans="29:29">
      <c r="AC435" s="2174"/>
    </row>
    <row r="436" spans="29:29">
      <c r="AC436" s="2174"/>
    </row>
    <row r="437" spans="29:29">
      <c r="AC437" s="2174"/>
    </row>
    <row r="438" spans="29:29">
      <c r="AC438" s="2174"/>
    </row>
    <row r="439" spans="29:29">
      <c r="AC439" s="2174"/>
    </row>
    <row r="440" spans="29:29">
      <c r="AC440" s="2174"/>
    </row>
    <row r="441" spans="29:29">
      <c r="AC441" s="2174"/>
    </row>
    <row r="442" spans="29:29">
      <c r="AC442" s="2174"/>
    </row>
    <row r="443" spans="29:29">
      <c r="AC443" s="2174"/>
    </row>
    <row r="444" spans="29:29">
      <c r="AC444" s="2174"/>
    </row>
    <row r="445" spans="29:29">
      <c r="AC445" s="2174"/>
    </row>
    <row r="446" spans="29:29">
      <c r="AC446" s="2174"/>
    </row>
    <row r="447" spans="29:29">
      <c r="AC447" s="2174"/>
    </row>
    <row r="448" spans="29:29">
      <c r="AC448" s="2174"/>
    </row>
    <row r="449" spans="29:29">
      <c r="AC449" s="2174"/>
    </row>
    <row r="450" spans="29:29">
      <c r="AC450" s="2174"/>
    </row>
    <row r="451" spans="29:29">
      <c r="AC451" s="2174"/>
    </row>
    <row r="452" spans="29:29">
      <c r="AC452" s="2174"/>
    </row>
    <row r="453" spans="29:29">
      <c r="AC453" s="2174"/>
    </row>
    <row r="454" spans="29:29">
      <c r="AC454" s="2174"/>
    </row>
    <row r="455" spans="29:29">
      <c r="AC455" s="2174"/>
    </row>
    <row r="456" spans="29:29">
      <c r="AC456" s="2174"/>
    </row>
    <row r="457" spans="29:29">
      <c r="AC457" s="2174"/>
    </row>
    <row r="458" spans="29:29">
      <c r="AC458" s="2174"/>
    </row>
    <row r="459" spans="29:29">
      <c r="AC459" s="2174"/>
    </row>
    <row r="460" spans="29:29">
      <c r="AC460" s="2174"/>
    </row>
    <row r="461" spans="29:29">
      <c r="AC461" s="2174"/>
    </row>
    <row r="462" spans="29:29">
      <c r="AC462" s="2174"/>
    </row>
    <row r="463" spans="29:29">
      <c r="AC463" s="2174"/>
    </row>
    <row r="464" spans="29:29">
      <c r="AC464" s="2174"/>
    </row>
    <row r="465" spans="29:29">
      <c r="AC465" s="2174"/>
    </row>
    <row r="466" spans="29:29">
      <c r="AC466" s="2174"/>
    </row>
    <row r="467" spans="29:29">
      <c r="AC467" s="2174"/>
    </row>
    <row r="468" spans="29:29">
      <c r="AC468" s="2174"/>
    </row>
    <row r="469" spans="29:29">
      <c r="AC469" s="2174"/>
    </row>
    <row r="470" spans="29:29">
      <c r="AC470" s="2174"/>
    </row>
    <row r="471" spans="29:29">
      <c r="AC471" s="2174"/>
    </row>
    <row r="472" spans="29:29">
      <c r="AC472" s="2174"/>
    </row>
    <row r="473" spans="29:29">
      <c r="AC473" s="2174"/>
    </row>
    <row r="474" spans="29:29">
      <c r="AC474" s="2174"/>
    </row>
    <row r="475" spans="29:29">
      <c r="AC475" s="2174"/>
    </row>
    <row r="476" spans="29:29">
      <c r="AC476" s="2174"/>
    </row>
    <row r="477" spans="29:29">
      <c r="AC477" s="2174"/>
    </row>
    <row r="478" spans="29:29">
      <c r="AC478" s="2174"/>
    </row>
    <row r="479" spans="29:29">
      <c r="AC479" s="2174"/>
    </row>
    <row r="480" spans="29:29">
      <c r="AC480" s="2174"/>
    </row>
    <row r="481" spans="29:29">
      <c r="AC481" s="2174"/>
    </row>
    <row r="482" spans="29:29">
      <c r="AC482" s="2174"/>
    </row>
    <row r="483" spans="29:29">
      <c r="AC483" s="2174"/>
    </row>
    <row r="484" spans="29:29">
      <c r="AC484" s="2174"/>
    </row>
    <row r="485" spans="29:29">
      <c r="AC485" s="2174"/>
    </row>
    <row r="486" spans="29:29">
      <c r="AC486" s="2174"/>
    </row>
    <row r="487" spans="29:29">
      <c r="AC487" s="2174"/>
    </row>
    <row r="488" spans="29:29">
      <c r="AC488" s="2174"/>
    </row>
    <row r="489" spans="29:29">
      <c r="AC489" s="2174"/>
    </row>
    <row r="490" spans="29:29">
      <c r="AC490" s="2174"/>
    </row>
    <row r="491" spans="29:29">
      <c r="AC491" s="2174"/>
    </row>
    <row r="492" spans="29:29">
      <c r="AC492" s="2174"/>
    </row>
    <row r="493" spans="29:29">
      <c r="AC493" s="2174"/>
    </row>
    <row r="494" spans="29:29">
      <c r="AC494" s="2174"/>
    </row>
    <row r="495" spans="29:29">
      <c r="AC495" s="2174"/>
    </row>
    <row r="496" spans="29:29">
      <c r="AC496" s="2174"/>
    </row>
    <row r="497" spans="29:29">
      <c r="AC497" s="2174"/>
    </row>
    <row r="498" spans="29:29">
      <c r="AC498" s="2174"/>
    </row>
    <row r="499" spans="29:29">
      <c r="AC499" s="2174"/>
    </row>
    <row r="500" spans="29:29">
      <c r="AC500" s="2174"/>
    </row>
    <row r="501" spans="29:29">
      <c r="AC501" s="2174"/>
    </row>
    <row r="502" spans="29:29">
      <c r="AC502" s="2174"/>
    </row>
    <row r="503" spans="29:29">
      <c r="AC503" s="2174"/>
    </row>
    <row r="504" spans="29:29">
      <c r="AC504" s="2174"/>
    </row>
    <row r="505" spans="29:29">
      <c r="AC505" s="2174"/>
    </row>
    <row r="506" spans="29:29">
      <c r="AC506" s="2174"/>
    </row>
    <row r="507" spans="29:29">
      <c r="AC507" s="2174"/>
    </row>
    <row r="508" spans="29:29">
      <c r="AC508" s="2174"/>
    </row>
    <row r="509" spans="29:29">
      <c r="AC509" s="2174"/>
    </row>
    <row r="510" spans="29:29">
      <c r="AC510" s="2174"/>
    </row>
    <row r="511" spans="29:29">
      <c r="AC511" s="2174"/>
    </row>
    <row r="512" spans="29:29">
      <c r="AC512" s="2174"/>
    </row>
    <row r="513" spans="29:29">
      <c r="AC513" s="2174"/>
    </row>
    <row r="514" spans="29:29">
      <c r="AC514" s="2174"/>
    </row>
    <row r="515" spans="29:29">
      <c r="AC515" s="2174"/>
    </row>
    <row r="516" spans="29:29">
      <c r="AC516" s="2174"/>
    </row>
    <row r="517" spans="29:29">
      <c r="AC517" s="2174"/>
    </row>
    <row r="518" spans="29:29">
      <c r="AC518" s="2174"/>
    </row>
    <row r="519" spans="29:29">
      <c r="AC519" s="2174"/>
    </row>
    <row r="520" spans="29:29">
      <c r="AC520" s="2174"/>
    </row>
    <row r="521" spans="29:29">
      <c r="AC521" s="2174"/>
    </row>
    <row r="522" spans="29:29">
      <c r="AC522" s="2174"/>
    </row>
    <row r="523" spans="29:29">
      <c r="AC523" s="2174"/>
    </row>
    <row r="524" spans="29:29">
      <c r="AC524" s="2174"/>
    </row>
    <row r="525" spans="29:29">
      <c r="AC525" s="2174"/>
    </row>
    <row r="526" spans="29:29">
      <c r="AC526" s="2174"/>
    </row>
    <row r="527" spans="29:29">
      <c r="AC527" s="2174"/>
    </row>
    <row r="528" spans="29:29">
      <c r="AC528" s="2174"/>
    </row>
    <row r="529" spans="29:29">
      <c r="AC529" s="2174"/>
    </row>
    <row r="530" spans="29:29">
      <c r="AC530" s="2174"/>
    </row>
    <row r="531" spans="29:29">
      <c r="AC531" s="2174"/>
    </row>
    <row r="532" spans="29:29">
      <c r="AC532" s="2174"/>
    </row>
    <row r="533" spans="29:29">
      <c r="AC533" s="2174"/>
    </row>
    <row r="534" spans="29:29">
      <c r="AC534" s="2174"/>
    </row>
    <row r="535" spans="29:29">
      <c r="AC535" s="2174"/>
    </row>
    <row r="536" spans="29:29">
      <c r="AC536" s="2174"/>
    </row>
    <row r="537" spans="29:29">
      <c r="AC537" s="2174"/>
    </row>
    <row r="538" spans="29:29">
      <c r="AC538" s="2174"/>
    </row>
    <row r="539" spans="29:29">
      <c r="AC539" s="2174"/>
    </row>
    <row r="540" spans="29:29">
      <c r="AC540" s="2174"/>
    </row>
    <row r="541" spans="29:29">
      <c r="AC541" s="2174"/>
    </row>
    <row r="542" spans="29:29">
      <c r="AC542" s="2174"/>
    </row>
    <row r="543" spans="29:29">
      <c r="AC543" s="2174"/>
    </row>
    <row r="544" spans="29:29">
      <c r="AC544" s="2174"/>
    </row>
    <row r="545" spans="29:29">
      <c r="AC545" s="2174"/>
    </row>
    <row r="546" spans="29:29">
      <c r="AC546" s="2174"/>
    </row>
    <row r="547" spans="29:29">
      <c r="AC547" s="2174"/>
    </row>
    <row r="548" spans="29:29">
      <c r="AC548" s="2174"/>
    </row>
    <row r="549" spans="29:29">
      <c r="AC549" s="2174"/>
    </row>
    <row r="550" spans="29:29">
      <c r="AC550" s="2174"/>
    </row>
    <row r="551" spans="29:29">
      <c r="AC551" s="2174"/>
    </row>
    <row r="552" spans="29:29">
      <c r="AC552" s="2174"/>
    </row>
    <row r="553" spans="29:29">
      <c r="AC553" s="2174"/>
    </row>
    <row r="554" spans="29:29">
      <c r="AC554" s="2174"/>
    </row>
    <row r="555" spans="29:29">
      <c r="AC555" s="2174"/>
    </row>
    <row r="556" spans="29:29">
      <c r="AC556" s="2174"/>
    </row>
    <row r="557" spans="29:29">
      <c r="AC557" s="2174"/>
    </row>
    <row r="558" spans="29:29">
      <c r="AC558" s="2174"/>
    </row>
    <row r="559" spans="29:29">
      <c r="AC559" s="2174"/>
    </row>
    <row r="560" spans="29:29">
      <c r="AC560" s="2174"/>
    </row>
    <row r="561" spans="29:29">
      <c r="AC561" s="2174"/>
    </row>
    <row r="562" spans="29:29">
      <c r="AC562" s="2174"/>
    </row>
    <row r="563" spans="29:29">
      <c r="AC563" s="2174"/>
    </row>
    <row r="564" spans="29:29">
      <c r="AC564" s="2174"/>
    </row>
    <row r="565" spans="29:29">
      <c r="AC565" s="2174"/>
    </row>
    <row r="566" spans="29:29">
      <c r="AC566" s="2174"/>
    </row>
    <row r="567" spans="29:29">
      <c r="AC567" s="2174"/>
    </row>
    <row r="568" spans="29:29">
      <c r="AC568" s="2174"/>
    </row>
    <row r="569" spans="29:29">
      <c r="AC569" s="2174"/>
    </row>
    <row r="570" spans="29:29">
      <c r="AC570" s="2174"/>
    </row>
    <row r="571" spans="29:29">
      <c r="AC571" s="2174"/>
    </row>
    <row r="572" spans="29:29">
      <c r="AC572" s="2174"/>
    </row>
    <row r="573" spans="29:29">
      <c r="AC573" s="2174"/>
    </row>
    <row r="574" spans="29:29">
      <c r="AC574" s="2174"/>
    </row>
    <row r="575" spans="29:29">
      <c r="AC575" s="2174"/>
    </row>
    <row r="576" spans="29:29">
      <c r="AC576" s="2174"/>
    </row>
    <row r="577" spans="29:29">
      <c r="AC577" s="2174"/>
    </row>
    <row r="578" spans="29:29">
      <c r="AC578" s="2174"/>
    </row>
    <row r="579" spans="29:29">
      <c r="AC579" s="2174"/>
    </row>
    <row r="580" spans="29:29">
      <c r="AC580" s="2174"/>
    </row>
    <row r="581" spans="29:29">
      <c r="AC581" s="2174"/>
    </row>
    <row r="582" spans="29:29">
      <c r="AC582" s="2174"/>
    </row>
    <row r="583" spans="29:29">
      <c r="AC583" s="2174"/>
    </row>
    <row r="584" spans="29:29">
      <c r="AC584" s="2174"/>
    </row>
    <row r="585" spans="29:29">
      <c r="AC585" s="2174"/>
    </row>
    <row r="586" spans="29:29">
      <c r="AC586" s="2174"/>
    </row>
    <row r="587" spans="29:29">
      <c r="AC587" s="2174"/>
    </row>
    <row r="588" spans="29:29">
      <c r="AC588" s="2174"/>
    </row>
    <row r="589" spans="29:29">
      <c r="AC589" s="2174"/>
    </row>
    <row r="590" spans="29:29">
      <c r="AC590" s="2174"/>
    </row>
    <row r="591" spans="29:29">
      <c r="AC591" s="2174"/>
    </row>
    <row r="592" spans="29:29">
      <c r="AC592" s="2174"/>
    </row>
    <row r="593" spans="29:29">
      <c r="AC593" s="2174"/>
    </row>
    <row r="594" spans="29:29">
      <c r="AC594" s="2174"/>
    </row>
    <row r="595" spans="29:29">
      <c r="AC595" s="2174"/>
    </row>
    <row r="596" spans="29:29">
      <c r="AC596" s="2174"/>
    </row>
    <row r="597" spans="29:29">
      <c r="AC597" s="2174"/>
    </row>
    <row r="598" spans="29:29">
      <c r="AC598" s="2174"/>
    </row>
    <row r="599" spans="29:29">
      <c r="AC599" s="2174"/>
    </row>
    <row r="600" spans="29:29">
      <c r="AC600" s="2174"/>
    </row>
    <row r="601" spans="29:29">
      <c r="AC601" s="2174"/>
    </row>
    <row r="602" spans="29:29">
      <c r="AC602" s="2174"/>
    </row>
    <row r="603" spans="29:29">
      <c r="AC603" s="2174"/>
    </row>
    <row r="604" spans="29:29">
      <c r="AC604" s="2174"/>
    </row>
    <row r="605" spans="29:29">
      <c r="AC605" s="2174"/>
    </row>
    <row r="606" spans="29:29">
      <c r="AC606" s="2174"/>
    </row>
    <row r="607" spans="29:29">
      <c r="AC607" s="2174"/>
    </row>
    <row r="608" spans="29:29">
      <c r="AC608" s="2174"/>
    </row>
    <row r="609" spans="29:29">
      <c r="AC609" s="2174"/>
    </row>
    <row r="610" spans="29:29">
      <c r="AC610" s="2174"/>
    </row>
    <row r="611" spans="29:29">
      <c r="AC611" s="2174"/>
    </row>
    <row r="612" spans="29:29">
      <c r="AC612" s="2174"/>
    </row>
    <row r="613" spans="29:29">
      <c r="AC613" s="2174"/>
    </row>
    <row r="614" spans="29:29">
      <c r="AC614" s="2174"/>
    </row>
    <row r="615" spans="29:29">
      <c r="AC615" s="2174"/>
    </row>
    <row r="616" spans="29:29">
      <c r="AC616" s="2174"/>
    </row>
    <row r="617" spans="29:29">
      <c r="AC617" s="2174"/>
    </row>
    <row r="618" spans="29:29">
      <c r="AC618" s="2174"/>
    </row>
    <row r="619" spans="29:29">
      <c r="AC619" s="2174"/>
    </row>
    <row r="620" spans="29:29">
      <c r="AC620" s="2174"/>
    </row>
    <row r="621" spans="29:29">
      <c r="AC621" s="2174"/>
    </row>
    <row r="622" spans="29:29">
      <c r="AC622" s="2174"/>
    </row>
    <row r="623" spans="29:29">
      <c r="AC623" s="2174"/>
    </row>
    <row r="624" spans="29:29">
      <c r="AC624" s="2174"/>
    </row>
    <row r="625" spans="29:29">
      <c r="AC625" s="2174"/>
    </row>
    <row r="626" spans="29:29">
      <c r="AC626" s="2174"/>
    </row>
    <row r="627" spans="29:29">
      <c r="AC627" s="2174"/>
    </row>
    <row r="628" spans="29:29">
      <c r="AC628" s="2174"/>
    </row>
    <row r="629" spans="29:29">
      <c r="AC629" s="2174"/>
    </row>
    <row r="630" spans="29:29">
      <c r="AC630" s="2174"/>
    </row>
    <row r="631" spans="29:29">
      <c r="AC631" s="2174"/>
    </row>
    <row r="632" spans="29:29">
      <c r="AC632" s="2174"/>
    </row>
    <row r="633" spans="29:29">
      <c r="AC633" s="2174"/>
    </row>
    <row r="634" spans="29:29">
      <c r="AC634" s="2174"/>
    </row>
    <row r="635" spans="29:29">
      <c r="AC635" s="2174"/>
    </row>
    <row r="636" spans="29:29">
      <c r="AC636" s="2174"/>
    </row>
    <row r="637" spans="29:29">
      <c r="AC637" s="2174"/>
    </row>
    <row r="638" spans="29:29">
      <c r="AC638" s="2174"/>
    </row>
    <row r="639" spans="29:29">
      <c r="AC639" s="2174"/>
    </row>
    <row r="640" spans="29:29">
      <c r="AC640" s="2174"/>
    </row>
    <row r="641" spans="29:29">
      <c r="AC641" s="2174"/>
    </row>
    <row r="642" spans="29:29">
      <c r="AC642" s="2174"/>
    </row>
    <row r="643" spans="29:29">
      <c r="AC643" s="2174"/>
    </row>
    <row r="644" spans="29:29">
      <c r="AC644" s="2174"/>
    </row>
    <row r="645" spans="29:29">
      <c r="AC645" s="2174"/>
    </row>
    <row r="646" spans="29:29">
      <c r="AC646" s="2174"/>
    </row>
    <row r="647" spans="29:29">
      <c r="AC647" s="2174"/>
    </row>
    <row r="648" spans="29:29">
      <c r="AC648" s="2174"/>
    </row>
    <row r="649" spans="29:29">
      <c r="AC649" s="2174"/>
    </row>
    <row r="650" spans="29:29">
      <c r="AC650" s="2174"/>
    </row>
    <row r="651" spans="29:29">
      <c r="AC651" s="2174"/>
    </row>
    <row r="652" spans="29:29">
      <c r="AC652" s="2174"/>
    </row>
    <row r="653" spans="29:29">
      <c r="AC653" s="2174"/>
    </row>
    <row r="654" spans="29:29">
      <c r="AC654" s="2174"/>
    </row>
    <row r="655" spans="29:29">
      <c r="AC655" s="2174"/>
    </row>
    <row r="656" spans="29:29">
      <c r="AC656" s="2174"/>
    </row>
    <row r="657" spans="29:29">
      <c r="AC657" s="2174"/>
    </row>
    <row r="658" spans="29:29">
      <c r="AC658" s="2174"/>
    </row>
    <row r="659" spans="29:29">
      <c r="AC659" s="2174"/>
    </row>
    <row r="660" spans="29:29">
      <c r="AC660" s="2174"/>
    </row>
    <row r="661" spans="29:29">
      <c r="AC661" s="2174"/>
    </row>
    <row r="662" spans="29:29">
      <c r="AC662" s="2174"/>
    </row>
    <row r="663" spans="29:29">
      <c r="AC663" s="2174"/>
    </row>
    <row r="664" spans="29:29">
      <c r="AC664" s="2174"/>
    </row>
    <row r="665" spans="29:29">
      <c r="AC665" s="2174"/>
    </row>
    <row r="666" spans="29:29">
      <c r="AC666" s="2174"/>
    </row>
    <row r="667" spans="29:29">
      <c r="AC667" s="2174"/>
    </row>
    <row r="668" spans="29:29">
      <c r="AC668" s="2174"/>
    </row>
    <row r="669" spans="29:29">
      <c r="AC669" s="2174"/>
    </row>
    <row r="670" spans="29:29">
      <c r="AC670" s="2174"/>
    </row>
    <row r="671" spans="29:29">
      <c r="AC671" s="2174"/>
    </row>
    <row r="672" spans="29:29">
      <c r="AC672" s="2174"/>
    </row>
    <row r="673" spans="29:29">
      <c r="AC673" s="2174"/>
    </row>
    <row r="674" spans="29:29">
      <c r="AC674" s="2174"/>
    </row>
    <row r="675" spans="29:29">
      <c r="AC675" s="2174"/>
    </row>
    <row r="676" spans="29:29">
      <c r="AC676" s="2174"/>
    </row>
    <row r="677" spans="29:29">
      <c r="AC677" s="2174"/>
    </row>
    <row r="678" spans="29:29">
      <c r="AC678" s="2174"/>
    </row>
    <row r="679" spans="29:29">
      <c r="AC679" s="2174"/>
    </row>
    <row r="680" spans="29:29">
      <c r="AC680" s="2174"/>
    </row>
    <row r="681" spans="29:29">
      <c r="AC681" s="2174"/>
    </row>
    <row r="682" spans="29:29">
      <c r="AC682" s="2174"/>
    </row>
    <row r="683" spans="29:29">
      <c r="AC683" s="2174"/>
    </row>
    <row r="684" spans="29:29">
      <c r="AC684" s="2174"/>
    </row>
    <row r="685" spans="29:29">
      <c r="AC685" s="2174"/>
    </row>
    <row r="686" spans="29:29">
      <c r="AC686" s="2174"/>
    </row>
    <row r="687" spans="29:29">
      <c r="AC687" s="2174"/>
    </row>
    <row r="688" spans="29:29">
      <c r="AC688" s="2174"/>
    </row>
    <row r="689" spans="29:29">
      <c r="AC689" s="2174"/>
    </row>
    <row r="690" spans="29:29">
      <c r="AC690" s="2174"/>
    </row>
    <row r="691" spans="29:29">
      <c r="AC691" s="2174"/>
    </row>
    <row r="692" spans="29:29">
      <c r="AC692" s="2174"/>
    </row>
    <row r="693" spans="29:29">
      <c r="AC693" s="2174"/>
    </row>
    <row r="694" spans="29:29">
      <c r="AC694" s="2174"/>
    </row>
    <row r="695" spans="29:29">
      <c r="AC695" s="2174"/>
    </row>
    <row r="696" spans="29:29">
      <c r="AC696" s="2174"/>
    </row>
    <row r="697" spans="29:29">
      <c r="AC697" s="2174"/>
    </row>
    <row r="698" spans="29:29">
      <c r="AC698" s="2174"/>
    </row>
    <row r="699" spans="29:29">
      <c r="AC699" s="2174"/>
    </row>
    <row r="700" spans="29:29">
      <c r="AC700" s="2174"/>
    </row>
    <row r="701" spans="29:29">
      <c r="AC701" s="2174"/>
    </row>
    <row r="702" spans="29:29">
      <c r="AC702" s="2174"/>
    </row>
    <row r="703" spans="29:29">
      <c r="AC703" s="2174"/>
    </row>
    <row r="704" spans="29:29">
      <c r="AC704" s="2174"/>
    </row>
    <row r="705" spans="29:29">
      <c r="AC705" s="2174"/>
    </row>
    <row r="706" spans="29:29">
      <c r="AC706" s="2174"/>
    </row>
    <row r="707" spans="29:29">
      <c r="AC707" s="2174"/>
    </row>
    <row r="708" spans="29:29">
      <c r="AC708" s="2174"/>
    </row>
    <row r="709" spans="29:29">
      <c r="AC709" s="2174"/>
    </row>
    <row r="710" spans="29:29">
      <c r="AC710" s="2174"/>
    </row>
    <row r="711" spans="29:29">
      <c r="AC711" s="2174"/>
    </row>
    <row r="712" spans="29:29">
      <c r="AC712" s="2174"/>
    </row>
    <row r="713" spans="29:29">
      <c r="AC713" s="2174"/>
    </row>
    <row r="714" spans="29:29">
      <c r="AC714" s="2174"/>
    </row>
    <row r="715" spans="29:29">
      <c r="AC715" s="2174"/>
    </row>
    <row r="716" spans="29:29">
      <c r="AC716" s="2174"/>
    </row>
    <row r="717" spans="29:29">
      <c r="AC717" s="2174"/>
    </row>
    <row r="718" spans="29:29">
      <c r="AC718" s="2174"/>
    </row>
    <row r="719" spans="29:29">
      <c r="AC719" s="2174"/>
    </row>
    <row r="720" spans="29:29">
      <c r="AC720" s="2174"/>
    </row>
    <row r="721" spans="29:29">
      <c r="AC721" s="2174"/>
    </row>
    <row r="722" spans="29:29">
      <c r="AC722" s="2174"/>
    </row>
    <row r="723" spans="29:29">
      <c r="AC723" s="2174"/>
    </row>
    <row r="724" spans="29:29">
      <c r="AC724" s="2174"/>
    </row>
    <row r="725" spans="29:29">
      <c r="AC725" s="2174"/>
    </row>
    <row r="726" spans="29:29">
      <c r="AC726" s="2174"/>
    </row>
    <row r="727" spans="29:29">
      <c r="AC727" s="2174"/>
    </row>
    <row r="728" spans="29:29">
      <c r="AC728" s="2174"/>
    </row>
    <row r="729" spans="29:29">
      <c r="AC729" s="2174"/>
    </row>
    <row r="730" spans="29:29">
      <c r="AC730" s="2174"/>
    </row>
    <row r="731" spans="29:29">
      <c r="AC731" s="2174"/>
    </row>
    <row r="732" spans="29:29">
      <c r="AC732" s="2174"/>
    </row>
    <row r="733" spans="29:29">
      <c r="AC733" s="2174"/>
    </row>
    <row r="734" spans="29:29">
      <c r="AC734" s="2174"/>
    </row>
    <row r="735" spans="29:29">
      <c r="AC735" s="2174"/>
    </row>
    <row r="736" spans="29:29">
      <c r="AC736" s="2174"/>
    </row>
    <row r="737" spans="29:29">
      <c r="AC737" s="2174"/>
    </row>
    <row r="738" spans="29:29">
      <c r="AC738" s="2174"/>
    </row>
    <row r="739" spans="29:29">
      <c r="AC739" s="2174"/>
    </row>
    <row r="740" spans="29:29">
      <c r="AC740" s="2174"/>
    </row>
    <row r="741" spans="29:29">
      <c r="AC741" s="2174"/>
    </row>
    <row r="742" spans="29:29">
      <c r="AC742" s="2174"/>
    </row>
    <row r="743" spans="29:29">
      <c r="AC743" s="2174"/>
    </row>
    <row r="744" spans="29:29">
      <c r="AC744" s="2174"/>
    </row>
    <row r="745" spans="29:29">
      <c r="AC745" s="2174"/>
    </row>
    <row r="746" spans="29:29">
      <c r="AC746" s="2174"/>
    </row>
    <row r="747" spans="29:29">
      <c r="AC747" s="2174"/>
    </row>
    <row r="748" spans="29:29">
      <c r="AC748" s="2174"/>
    </row>
    <row r="749" spans="29:29">
      <c r="AC749" s="2174"/>
    </row>
    <row r="750" spans="29:29">
      <c r="AC750" s="2174"/>
    </row>
    <row r="751" spans="29:29">
      <c r="AC751" s="2174"/>
    </row>
    <row r="752" spans="29:29">
      <c r="AC752" s="2174"/>
    </row>
    <row r="753" spans="29:29">
      <c r="AC753" s="2174"/>
    </row>
    <row r="754" spans="29:29">
      <c r="AC754" s="2174"/>
    </row>
    <row r="755" spans="29:29">
      <c r="AC755" s="2174"/>
    </row>
    <row r="756" spans="29:29">
      <c r="AC756" s="2174"/>
    </row>
    <row r="757" spans="29:29">
      <c r="AC757" s="2174"/>
    </row>
    <row r="758" spans="29:29">
      <c r="AC758" s="2174"/>
    </row>
    <row r="759" spans="29:29">
      <c r="AC759" s="2174"/>
    </row>
    <row r="760" spans="29:29">
      <c r="AC760" s="2174"/>
    </row>
    <row r="761" spans="29:29">
      <c r="AC761" s="2174"/>
    </row>
    <row r="762" spans="29:29">
      <c r="AC762" s="2174"/>
    </row>
    <row r="763" spans="29:29">
      <c r="AC763" s="2174"/>
    </row>
    <row r="764" spans="29:29">
      <c r="AC764" s="2174"/>
    </row>
    <row r="765" spans="29:29">
      <c r="AC765" s="2174"/>
    </row>
    <row r="766" spans="29:29">
      <c r="AC766" s="2174"/>
    </row>
    <row r="767" spans="29:29">
      <c r="AC767" s="2174"/>
    </row>
    <row r="768" spans="29:29">
      <c r="AC768" s="2174"/>
    </row>
    <row r="769" spans="29:29">
      <c r="AC769" s="2174"/>
    </row>
    <row r="770" spans="29:29">
      <c r="AC770" s="2174"/>
    </row>
    <row r="771" spans="29:29">
      <c r="AC771" s="2174"/>
    </row>
    <row r="772" spans="29:29">
      <c r="AC772" s="2174"/>
    </row>
    <row r="773" spans="29:29">
      <c r="AC773" s="2174"/>
    </row>
    <row r="774" spans="29:29">
      <c r="AC774" s="2174"/>
    </row>
    <row r="775" spans="29:29">
      <c r="AC775" s="2174"/>
    </row>
    <row r="776" spans="29:29">
      <c r="AC776" s="2174"/>
    </row>
    <row r="777" spans="29:29">
      <c r="AC777" s="2174"/>
    </row>
    <row r="778" spans="29:29">
      <c r="AC778" s="2174"/>
    </row>
    <row r="779" spans="29:29">
      <c r="AC779" s="2174"/>
    </row>
    <row r="780" spans="29:29">
      <c r="AC780" s="2174"/>
    </row>
    <row r="781" spans="29:29">
      <c r="AC781" s="2174"/>
    </row>
    <row r="782" spans="29:29">
      <c r="AC782" s="2174"/>
    </row>
    <row r="783" spans="29:29">
      <c r="AC783" s="2174"/>
    </row>
    <row r="784" spans="29:29">
      <c r="AC784" s="2174"/>
    </row>
    <row r="785" spans="29:29">
      <c r="AC785" s="2174"/>
    </row>
    <row r="786" spans="29:29">
      <c r="AC786" s="2174"/>
    </row>
    <row r="787" spans="29:29">
      <c r="AC787" s="2174"/>
    </row>
    <row r="788" spans="29:29">
      <c r="AC788" s="2174"/>
    </row>
    <row r="789" spans="29:29">
      <c r="AC789" s="2174"/>
    </row>
    <row r="790" spans="29:29">
      <c r="AC790" s="2174"/>
    </row>
    <row r="791" spans="29:29">
      <c r="AC791" s="2174"/>
    </row>
    <row r="792" spans="29:29">
      <c r="AC792" s="2174"/>
    </row>
    <row r="793" spans="29:29">
      <c r="AC793" s="2174"/>
    </row>
    <row r="794" spans="29:29">
      <c r="AC794" s="217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16"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0" t="s">
        <v>712</v>
      </c>
      <c r="B1" s="501" t="s">
        <v>770</v>
      </c>
      <c r="C1" s="502" t="s">
        <v>714</v>
      </c>
      <c r="D1" s="845"/>
      <c r="E1" s="504"/>
      <c r="F1" s="2828"/>
      <c r="G1" s="1596" t="s">
        <v>715</v>
      </c>
      <c r="H1" s="504"/>
      <c r="I1" s="504"/>
      <c r="J1" s="504"/>
      <c r="K1" s="505"/>
      <c r="L1" s="1557"/>
      <c r="M1" s="1558"/>
      <c r="N1" s="1558"/>
      <c r="O1" s="1558"/>
      <c r="P1" s="2202"/>
      <c r="Q1" s="1559"/>
      <c r="R1" s="1559"/>
      <c r="S1" s="1559"/>
      <c r="T1" s="1559"/>
      <c r="U1" s="1559"/>
      <c r="V1" s="1559"/>
      <c r="W1" s="1559"/>
      <c r="X1" s="1559"/>
      <c r="Y1" s="1559"/>
      <c r="Z1" s="1559"/>
      <c r="AA1" s="1559"/>
      <c r="AB1" s="1559"/>
      <c r="AC1" s="1560"/>
    </row>
    <row r="2" spans="1:29" s="1331" customFormat="1" ht="28.5" customHeight="1">
      <c r="A2" s="421" t="s">
        <v>460</v>
      </c>
      <c r="B2" s="846" t="e">
        <f>ROUND(B3*D3/10000,0)</f>
        <v>#DIV/0!</v>
      </c>
      <c r="C2" s="2122"/>
      <c r="D2" s="2122"/>
      <c r="E2" s="2056"/>
      <c r="F2" s="2124"/>
      <c r="G2" s="2123"/>
      <c r="H2" s="2123"/>
      <c r="I2" s="2123"/>
      <c r="J2" s="2123"/>
      <c r="K2" s="2123"/>
      <c r="L2" s="2126"/>
      <c r="M2" s="2127"/>
      <c r="N2" s="2127"/>
      <c r="O2" s="2127"/>
      <c r="P2" s="2202"/>
      <c r="Q2" s="1559"/>
      <c r="R2" s="1559"/>
      <c r="S2" s="1559"/>
      <c r="T2" s="1559"/>
      <c r="U2" s="1559"/>
      <c r="V2" s="1559"/>
      <c r="W2" s="1559"/>
      <c r="X2" s="1559"/>
      <c r="Y2" s="1559"/>
      <c r="Z2" s="1559"/>
      <c r="AA2" s="1559"/>
      <c r="AB2" s="1559"/>
      <c r="AC2" s="1560"/>
    </row>
    <row r="3" spans="1:29" s="1331" customFormat="1" ht="28.5" customHeight="1" thickBot="1">
      <c r="A3" s="507" t="s">
        <v>513</v>
      </c>
      <c r="B3" s="508" t="e">
        <f>C50</f>
        <v>#DIV/0!</v>
      </c>
      <c r="C3" s="848" t="s">
        <v>716</v>
      </c>
      <c r="D3" s="847">
        <f>SUMIF('数据-汇总表'!$C19:$C33,D1,'数据-汇总表'!$E19:$E33)</f>
        <v>0</v>
      </c>
      <c r="E3" s="2056"/>
      <c r="F3" s="2124"/>
      <c r="G3" s="2123"/>
      <c r="H3" s="2123"/>
      <c r="I3" s="2123"/>
      <c r="J3" s="2123"/>
      <c r="K3" s="2125"/>
      <c r="L3" s="2126"/>
      <c r="M3" s="2127"/>
      <c r="N3" s="2127"/>
      <c r="O3" s="2127"/>
      <c r="P3" s="2202"/>
      <c r="Q3" s="1559"/>
      <c r="R3" s="1559"/>
      <c r="S3" s="1559"/>
      <c r="T3" s="1559"/>
      <c r="U3" s="1559"/>
      <c r="V3" s="1559"/>
      <c r="W3" s="1559"/>
      <c r="X3" s="1559"/>
      <c r="Y3" s="1559"/>
      <c r="Z3" s="1559"/>
      <c r="AA3" s="1559"/>
      <c r="AB3" s="1559"/>
      <c r="AC3" s="1560"/>
    </row>
    <row r="4" spans="1:29" ht="15">
      <c r="A4" s="510" t="s">
        <v>515</v>
      </c>
      <c r="B4" s="511"/>
      <c r="C4" s="3469" t="s">
        <v>516</v>
      </c>
      <c r="D4" s="3470"/>
      <c r="E4" s="3493" t="s">
        <v>517</v>
      </c>
      <c r="F4" s="3494"/>
      <c r="G4" s="3469" t="s">
        <v>518</v>
      </c>
      <c r="H4" s="3470"/>
      <c r="I4" s="3469" t="s">
        <v>519</v>
      </c>
      <c r="J4" s="3470"/>
      <c r="K4" s="512" t="s">
        <v>520</v>
      </c>
      <c r="L4" s="2128"/>
      <c r="M4" s="2129"/>
      <c r="N4" s="2129"/>
      <c r="O4" s="2129"/>
      <c r="P4" s="3567" t="s">
        <v>521</v>
      </c>
      <c r="Q4" s="3472"/>
      <c r="R4" s="3457" t="s">
        <v>517</v>
      </c>
      <c r="S4" s="3458"/>
      <c r="T4" s="3457" t="s">
        <v>518</v>
      </c>
      <c r="U4" s="3458"/>
      <c r="V4" s="3477" t="s">
        <v>519</v>
      </c>
      <c r="W4" s="3477"/>
      <c r="X4" s="1562"/>
      <c r="Y4" s="3457" t="s">
        <v>521</v>
      </c>
      <c r="Z4" s="3458"/>
      <c r="AA4" s="3452" t="s">
        <v>517</v>
      </c>
      <c r="AB4" s="3452" t="s">
        <v>518</v>
      </c>
      <c r="AC4" s="3452" t="s">
        <v>519</v>
      </c>
    </row>
    <row r="5" spans="1:29" ht="15">
      <c r="A5" s="513"/>
      <c r="B5" s="514"/>
      <c r="C5" s="3480" t="s">
        <v>2923</v>
      </c>
      <c r="D5" s="3481"/>
      <c r="E5" s="3495" t="s">
        <v>2924</v>
      </c>
      <c r="F5" s="3496"/>
      <c r="G5" s="3480" t="s">
        <v>2925</v>
      </c>
      <c r="H5" s="3481"/>
      <c r="I5" s="3480" t="s">
        <v>2926</v>
      </c>
      <c r="J5" s="3481"/>
      <c r="K5" s="512"/>
      <c r="L5" s="2128"/>
      <c r="M5" s="2129"/>
      <c r="N5" s="2129"/>
      <c r="O5" s="2129"/>
      <c r="P5" s="3568"/>
      <c r="Q5" s="3474"/>
      <c r="R5" s="3459"/>
      <c r="S5" s="3460"/>
      <c r="T5" s="3459"/>
      <c r="U5" s="3460"/>
      <c r="V5" s="3477"/>
      <c r="W5" s="3477"/>
      <c r="X5" s="1562"/>
      <c r="Y5" s="3459"/>
      <c r="Z5" s="3460"/>
      <c r="AA5" s="3453"/>
      <c r="AB5" s="3453"/>
      <c r="AC5" s="3453"/>
    </row>
    <row r="6" spans="1:29" ht="15.75" thickBot="1">
      <c r="A6" s="515"/>
      <c r="B6" s="516"/>
      <c r="C6" s="3478" t="s">
        <v>2927</v>
      </c>
      <c r="D6" s="3479"/>
      <c r="E6" s="3497" t="s">
        <v>2927</v>
      </c>
      <c r="F6" s="3498"/>
      <c r="G6" s="3478" t="s">
        <v>2927</v>
      </c>
      <c r="H6" s="3479"/>
      <c r="I6" s="3478" t="s">
        <v>2927</v>
      </c>
      <c r="J6" s="3479"/>
      <c r="K6" s="512" t="s">
        <v>522</v>
      </c>
      <c r="L6" s="2128"/>
      <c r="M6" s="2129"/>
      <c r="N6" s="2129"/>
      <c r="O6" s="2129"/>
      <c r="P6" s="3569"/>
      <c r="Q6" s="3476"/>
      <c r="R6" s="3459"/>
      <c r="S6" s="3460"/>
      <c r="T6" s="3461"/>
      <c r="U6" s="3462"/>
      <c r="V6" s="3477"/>
      <c r="W6" s="3477"/>
      <c r="X6" s="1562"/>
      <c r="Y6" s="3461"/>
      <c r="Z6" s="3462"/>
      <c r="AA6" s="3454"/>
      <c r="AB6" s="3454"/>
      <c r="AC6" s="3454"/>
    </row>
    <row r="7" spans="1:29" s="1215" customFormat="1" ht="15.75" thickBot="1">
      <c r="A7" s="2933"/>
      <c r="B7" s="2940" t="s">
        <v>523</v>
      </c>
      <c r="C7" s="517">
        <f>'数据-取费表'!B2</f>
        <v>43035</v>
      </c>
      <c r="D7" s="518">
        <v>100</v>
      </c>
      <c r="E7" s="519"/>
      <c r="F7" s="520">
        <f>SUMIF(59:59,YEAR(E7)&amp;"-"&amp;MONTH(E7),60:60)</f>
        <v>0</v>
      </c>
      <c r="G7" s="519"/>
      <c r="H7" s="518">
        <f>SUMIF(59:59,YEAR(G7)&amp;"-"&amp;MONTH(G7),60:60)</f>
        <v>0</v>
      </c>
      <c r="I7" s="519"/>
      <c r="J7" s="518">
        <f>SUMIF(59:59,YEAR(I7)&amp;"-"&amp;MONTH(I7),60:60)</f>
        <v>0</v>
      </c>
      <c r="K7" s="522"/>
      <c r="L7" s="2130"/>
      <c r="M7" s="2131"/>
      <c r="N7" s="2131"/>
      <c r="O7" s="2131"/>
      <c r="P7" s="3464" t="s">
        <v>524</v>
      </c>
      <c r="Q7" s="3464"/>
      <c r="R7" s="1563" t="s">
        <v>8</v>
      </c>
      <c r="S7" s="1564">
        <f t="shared" ref="S7:S15" si="0">F7</f>
        <v>0</v>
      </c>
      <c r="T7" s="1563" t="s">
        <v>8</v>
      </c>
      <c r="U7" s="1564">
        <f t="shared" ref="U7:U15" si="1">H7</f>
        <v>0</v>
      </c>
      <c r="V7" s="1563" t="s">
        <v>8</v>
      </c>
      <c r="W7" s="1564">
        <f t="shared" ref="W7:W15" si="2">J7</f>
        <v>0</v>
      </c>
      <c r="X7" s="1565"/>
      <c r="Y7" s="3455" t="s">
        <v>524</v>
      </c>
      <c r="Z7" s="3456"/>
      <c r="AA7" s="1566" t="e">
        <f>D7/F7</f>
        <v>#DIV/0!</v>
      </c>
      <c r="AB7" s="1566" t="e">
        <f>D7/H7</f>
        <v>#DIV/0!</v>
      </c>
      <c r="AC7" s="1566" t="e">
        <f>D7/J7</f>
        <v>#DIV/0!</v>
      </c>
    </row>
    <row r="8" spans="1:29" s="1215" customFormat="1" ht="15.75" thickBot="1">
      <c r="A8" s="2934"/>
      <c r="B8" s="2941" t="s">
        <v>525</v>
      </c>
      <c r="C8" s="523" t="s">
        <v>570</v>
      </c>
      <c r="D8" s="518">
        <v>100</v>
      </c>
      <c r="E8" s="523"/>
      <c r="F8" s="520">
        <f>SUMIF(62:62,E8,63:63)-SUMIF(62:62,C8,63:63)+100</f>
        <v>0</v>
      </c>
      <c r="G8" s="523"/>
      <c r="H8" s="518">
        <f>SUMIF(62:62,G8,63:63)-SUMIF(62:62,C8,63:63)+100</f>
        <v>0</v>
      </c>
      <c r="I8" s="523"/>
      <c r="J8" s="518">
        <f>SUMIF(62:62,I8,63:63)-SUMIF(62:62,C8,63:63)+100</f>
        <v>0</v>
      </c>
      <c r="K8" s="522"/>
      <c r="L8" s="2130"/>
      <c r="M8" s="2131"/>
      <c r="N8" s="2131"/>
      <c r="O8" s="2131"/>
      <c r="P8" s="3464" t="s">
        <v>527</v>
      </c>
      <c r="Q8" s="3456"/>
      <c r="R8" s="1563" t="s">
        <v>8</v>
      </c>
      <c r="S8" s="1564">
        <f t="shared" si="0"/>
        <v>0</v>
      </c>
      <c r="T8" s="1563" t="s">
        <v>8</v>
      </c>
      <c r="U8" s="1564">
        <f t="shared" si="1"/>
        <v>0</v>
      </c>
      <c r="V8" s="1563" t="s">
        <v>8</v>
      </c>
      <c r="W8" s="1564">
        <f t="shared" si="2"/>
        <v>0</v>
      </c>
      <c r="X8" s="1565"/>
      <c r="Y8" s="3455" t="s">
        <v>527</v>
      </c>
      <c r="Z8" s="3456"/>
      <c r="AA8" s="1566" t="e">
        <f t="shared" ref="AA8:AA47" si="3">D8/F8</f>
        <v>#DIV/0!</v>
      </c>
      <c r="AB8" s="1566" t="e">
        <f t="shared" ref="AB8:AB47" si="4">D8/H8</f>
        <v>#DIV/0!</v>
      </c>
      <c r="AC8" s="1566" t="e">
        <f t="shared" ref="AC8:AC47" si="5">D8/J8</f>
        <v>#DIV/0!</v>
      </c>
    </row>
    <row r="9" spans="1:29" s="1215" customFormat="1" ht="15">
      <c r="A9" s="2935"/>
      <c r="B9" s="2942" t="s">
        <v>2755</v>
      </c>
      <c r="C9" s="853"/>
      <c r="D9" s="249">
        <v>100</v>
      </c>
      <c r="E9" s="856"/>
      <c r="F9" s="249">
        <f>SUMIF(64:64,E9,65:65)-SUMIF(64:64,C9,65:65)+100</f>
        <v>100</v>
      </c>
      <c r="G9" s="854"/>
      <c r="H9" s="249">
        <f>SUMIF(64:64,G9,65:65)-SUMIF(64:64,C9,65:65)+100</f>
        <v>100</v>
      </c>
      <c r="I9" s="854"/>
      <c r="J9" s="249">
        <f>SUMIF(64:64,I9,65:65)-SUMIF(64:64,C9,65:65)+100</f>
        <v>100</v>
      </c>
      <c r="K9" s="522"/>
      <c r="L9" s="2130"/>
      <c r="M9" s="2131"/>
      <c r="N9" s="2131"/>
      <c r="O9" s="2131"/>
      <c r="P9" s="3463" t="s">
        <v>529</v>
      </c>
      <c r="Q9" s="1146" t="str">
        <f t="shared" ref="Q9:Q15" si="6">B9</f>
        <v>用途</v>
      </c>
      <c r="R9" s="1563" t="s">
        <v>8</v>
      </c>
      <c r="S9" s="1564">
        <f t="shared" si="0"/>
        <v>100</v>
      </c>
      <c r="T9" s="1563" t="s">
        <v>8</v>
      </c>
      <c r="U9" s="1564">
        <f t="shared" si="1"/>
        <v>100</v>
      </c>
      <c r="V9" s="1563" t="s">
        <v>8</v>
      </c>
      <c r="W9" s="1564">
        <f t="shared" si="2"/>
        <v>100</v>
      </c>
      <c r="X9" s="1565"/>
      <c r="Y9" s="3420" t="s">
        <v>530</v>
      </c>
      <c r="Z9" s="1145" t="str">
        <f t="shared" ref="Z9:Z15" si="7">Q9</f>
        <v>用途</v>
      </c>
      <c r="AA9" s="1566">
        <f t="shared" si="3"/>
        <v>1</v>
      </c>
      <c r="AB9" s="1566">
        <f t="shared" si="4"/>
        <v>1</v>
      </c>
      <c r="AC9" s="1566">
        <f t="shared" si="5"/>
        <v>1</v>
      </c>
    </row>
    <row r="10" spans="1:29" s="1333" customFormat="1" ht="27">
      <c r="A10" s="2936"/>
      <c r="B10" s="2941" t="s">
        <v>2756</v>
      </c>
      <c r="C10" s="857"/>
      <c r="D10" s="250">
        <v>100</v>
      </c>
      <c r="E10" s="857"/>
      <c r="F10" s="250">
        <f>SUMIF(66:66,E10,67:67)-SUMIF(66:66,C10,67:67)+100</f>
        <v>100</v>
      </c>
      <c r="G10" s="858"/>
      <c r="H10" s="250">
        <f>SUMIF(66:66,G10,67:67)-SUMIF(66:66,C10,67:67)+100</f>
        <v>100</v>
      </c>
      <c r="I10" s="857"/>
      <c r="J10" s="250">
        <f>SUMIF(66:66,I10,67:67)-SUMIF(66:66,C10,67:67)+100</f>
        <v>100</v>
      </c>
      <c r="K10" s="580"/>
      <c r="L10" s="2133"/>
      <c r="M10" s="2173"/>
      <c r="N10" s="2173"/>
      <c r="O10" s="2173"/>
      <c r="P10" s="3463"/>
      <c r="Q10" s="1146" t="str">
        <f t="shared" si="6"/>
        <v>土地使用年限（年）</v>
      </c>
      <c r="R10" s="1563" t="s">
        <v>8</v>
      </c>
      <c r="S10" s="1564">
        <f t="shared" si="0"/>
        <v>100</v>
      </c>
      <c r="T10" s="1563" t="s">
        <v>8</v>
      </c>
      <c r="U10" s="1564">
        <f t="shared" si="1"/>
        <v>100</v>
      </c>
      <c r="V10" s="1563" t="s">
        <v>8</v>
      </c>
      <c r="W10" s="1564">
        <f t="shared" si="2"/>
        <v>100</v>
      </c>
      <c r="X10" s="1565"/>
      <c r="Y10" s="3420"/>
      <c r="Z10" s="1145" t="str">
        <f t="shared" si="7"/>
        <v>土地使用年限（年）</v>
      </c>
      <c r="AA10" s="1566">
        <f t="shared" si="3"/>
        <v>1</v>
      </c>
      <c r="AB10" s="1566">
        <f t="shared" si="4"/>
        <v>1</v>
      </c>
      <c r="AC10" s="1566">
        <f t="shared" si="5"/>
        <v>1</v>
      </c>
    </row>
    <row r="11" spans="1:29" ht="15">
      <c r="A11" s="2937"/>
      <c r="B11" s="2941" t="s">
        <v>2757</v>
      </c>
      <c r="C11" s="529"/>
      <c r="D11" s="250">
        <v>100</v>
      </c>
      <c r="E11" s="529"/>
      <c r="F11" s="250" t="e">
        <f>LOOKUP(E11,69:69,70:70)-LOOKUP(C11,69:69,70:70)+100</f>
        <v>#N/A</v>
      </c>
      <c r="G11" s="530"/>
      <c r="H11" s="250" t="e">
        <f>LOOKUP(G11,69:69,70:70)-LOOKUP(C11,69:69,70:70)+100</f>
        <v>#N/A</v>
      </c>
      <c r="I11" s="529"/>
      <c r="J11" s="250" t="e">
        <f>LOOKUP(I11,69:69,70:70)-LOOKUP(C11,69:69,70:70)+100</f>
        <v>#N/A</v>
      </c>
      <c r="K11" s="580"/>
      <c r="L11" s="2135"/>
      <c r="M11" s="2129"/>
      <c r="N11" s="2129"/>
      <c r="O11" s="2129"/>
      <c r="P11" s="3463"/>
      <c r="Q11" s="1146" t="str">
        <f t="shared" si="6"/>
        <v>容积率</v>
      </c>
      <c r="R11" s="1563" t="s">
        <v>8</v>
      </c>
      <c r="S11" s="1564" t="e">
        <f t="shared" si="0"/>
        <v>#N/A</v>
      </c>
      <c r="T11" s="1563" t="s">
        <v>8</v>
      </c>
      <c r="U11" s="1564" t="e">
        <f t="shared" si="1"/>
        <v>#N/A</v>
      </c>
      <c r="V11" s="1563" t="s">
        <v>8</v>
      </c>
      <c r="W11" s="1564" t="e">
        <f t="shared" si="2"/>
        <v>#N/A</v>
      </c>
      <c r="X11" s="1565"/>
      <c r="Y11" s="3420"/>
      <c r="Z11" s="1145" t="str">
        <f t="shared" si="7"/>
        <v>容积率</v>
      </c>
      <c r="AA11" s="1566" t="e">
        <f t="shared" si="3"/>
        <v>#N/A</v>
      </c>
      <c r="AB11" s="1566" t="e">
        <f t="shared" si="4"/>
        <v>#N/A</v>
      </c>
      <c r="AC11" s="1566" t="e">
        <f t="shared" si="5"/>
        <v>#N/A</v>
      </c>
    </row>
    <row r="12" spans="1:29" s="1215" customFormat="1" ht="15">
      <c r="A12" s="2938"/>
      <c r="B12" s="2944">
        <v>111</v>
      </c>
      <c r="C12" s="526"/>
      <c r="D12" s="534">
        <v>100</v>
      </c>
      <c r="E12" s="526"/>
      <c r="F12" s="250">
        <f>SUMIF(71:71,E12,72:72)-SUMIF(71:71,C12,72:72)+100</f>
        <v>100</v>
      </c>
      <c r="G12" s="905"/>
      <c r="H12" s="250">
        <f>SUMIF(71:71,G12,72:72)-SUMIF(71:71,C12,72:72)+100</f>
        <v>100</v>
      </c>
      <c r="I12" s="526"/>
      <c r="J12" s="250">
        <f>SUMIF(71:71,I12,72:72)-SUMIF(71:71,C12,72:72)+100</f>
        <v>100</v>
      </c>
      <c r="K12" s="577"/>
      <c r="L12" s="2130"/>
      <c r="M12" s="2131"/>
      <c r="N12" s="2131"/>
      <c r="O12" s="2131"/>
      <c r="P12" s="3463"/>
      <c r="Q12" s="1146">
        <f t="shared" si="6"/>
        <v>111</v>
      </c>
      <c r="R12" s="1563" t="s">
        <v>8</v>
      </c>
      <c r="S12" s="1564">
        <f t="shared" si="0"/>
        <v>100</v>
      </c>
      <c r="T12" s="1563" t="s">
        <v>8</v>
      </c>
      <c r="U12" s="1564">
        <f t="shared" si="1"/>
        <v>100</v>
      </c>
      <c r="V12" s="1563" t="s">
        <v>8</v>
      </c>
      <c r="W12" s="1564">
        <f t="shared" si="2"/>
        <v>100</v>
      </c>
      <c r="X12" s="1565"/>
      <c r="Y12" s="3420"/>
      <c r="Z12" s="1145">
        <f t="shared" si="7"/>
        <v>111</v>
      </c>
      <c r="AA12" s="1566">
        <f>D12/F12</f>
        <v>1</v>
      </c>
      <c r="AB12" s="1566">
        <f>D12/H12</f>
        <v>1</v>
      </c>
      <c r="AC12" s="1566">
        <f>D12/J12</f>
        <v>1</v>
      </c>
    </row>
    <row r="13" spans="1:29" ht="15">
      <c r="A13" s="2938"/>
      <c r="B13" s="2944">
        <v>111</v>
      </c>
      <c r="C13" s="535"/>
      <c r="D13" s="536">
        <v>100</v>
      </c>
      <c r="E13" s="526"/>
      <c r="F13" s="250">
        <f>SUMIF(73:73,E13,74:74)-SUMIF(73:73,C13,74:74)+100</f>
        <v>100</v>
      </c>
      <c r="G13" s="905"/>
      <c r="H13" s="536">
        <f>SUMIF(73:73,G13,74:74)-SUMIF(73:73,C13,74:74)+100</f>
        <v>100</v>
      </c>
      <c r="I13" s="526"/>
      <c r="J13" s="536">
        <f>SUMIF(73:73,I13,74:74)-SUMIF(73:73,C13,74:74)+100</f>
        <v>100</v>
      </c>
      <c r="K13" s="577"/>
      <c r="L13" s="2137"/>
      <c r="M13" s="2129"/>
      <c r="N13" s="2129"/>
      <c r="O13" s="2129"/>
      <c r="P13" s="3463"/>
      <c r="Q13" s="1146">
        <f t="shared" si="6"/>
        <v>111</v>
      </c>
      <c r="R13" s="1563" t="s">
        <v>8</v>
      </c>
      <c r="S13" s="1564">
        <f t="shared" si="0"/>
        <v>100</v>
      </c>
      <c r="T13" s="1563" t="s">
        <v>8</v>
      </c>
      <c r="U13" s="1564">
        <f t="shared" si="1"/>
        <v>100</v>
      </c>
      <c r="V13" s="1563" t="s">
        <v>8</v>
      </c>
      <c r="W13" s="1564">
        <f t="shared" si="2"/>
        <v>100</v>
      </c>
      <c r="X13" s="1565"/>
      <c r="Y13" s="3420"/>
      <c r="Z13" s="1145">
        <f t="shared" si="7"/>
        <v>111</v>
      </c>
      <c r="AA13" s="1566">
        <f t="shared" si="3"/>
        <v>1</v>
      </c>
      <c r="AB13" s="1566">
        <f t="shared" si="4"/>
        <v>1</v>
      </c>
      <c r="AC13" s="1566">
        <f t="shared" si="5"/>
        <v>1</v>
      </c>
    </row>
    <row r="14" spans="1:29" ht="15.75" thickBot="1">
      <c r="A14" s="2939"/>
      <c r="B14" s="2945">
        <v>111</v>
      </c>
      <c r="C14" s="541"/>
      <c r="D14" s="542">
        <v>100</v>
      </c>
      <c r="E14" s="906"/>
      <c r="F14" s="542">
        <f>SUMIF(75:75,E14,76:76)-SUMIF(75:75,C14,76:76)+100</f>
        <v>100</v>
      </c>
      <c r="G14" s="905"/>
      <c r="H14" s="542">
        <f>SUMIF(75:75,G14,76:76)-SUMIF(75:75,C14,76:76)+100</f>
        <v>100</v>
      </c>
      <c r="I14" s="526"/>
      <c r="J14" s="542">
        <f>SUMIF(75:75,I14,76:76)-SUMIF(75:75,C14,76:76)+100</f>
        <v>100</v>
      </c>
      <c r="K14" s="577"/>
      <c r="L14" s="2137"/>
      <c r="M14" s="2129"/>
      <c r="N14" s="2129"/>
      <c r="O14" s="2129"/>
      <c r="P14" s="3463"/>
      <c r="Q14" s="1146">
        <f t="shared" si="6"/>
        <v>111</v>
      </c>
      <c r="R14" s="1563" t="s">
        <v>8</v>
      </c>
      <c r="S14" s="1564">
        <f t="shared" si="0"/>
        <v>100</v>
      </c>
      <c r="T14" s="1563" t="s">
        <v>8</v>
      </c>
      <c r="U14" s="1564">
        <f t="shared" si="1"/>
        <v>100</v>
      </c>
      <c r="V14" s="1563" t="s">
        <v>8</v>
      </c>
      <c r="W14" s="1564">
        <f t="shared" si="2"/>
        <v>100</v>
      </c>
      <c r="X14" s="1565"/>
      <c r="Y14" s="3420"/>
      <c r="Z14" s="1145">
        <f t="shared" si="7"/>
        <v>111</v>
      </c>
      <c r="AA14" s="1566">
        <f t="shared" si="3"/>
        <v>1</v>
      </c>
      <c r="AB14" s="1566">
        <f t="shared" si="4"/>
        <v>1</v>
      </c>
      <c r="AC14" s="1566">
        <f t="shared" si="5"/>
        <v>1</v>
      </c>
    </row>
    <row r="15" spans="1:29" ht="99.75">
      <c r="A15" s="2931" t="s">
        <v>2753</v>
      </c>
      <c r="B15" s="543" t="s">
        <v>536</v>
      </c>
      <c r="C15" s="544" t="str">
        <f>估价对象房地状况!C5</f>
        <v>估价对象周边商务办公氛围较好，有泰达大厦、金皇大厦、万通中心等多个写字楼项目，办公集聚程度较好</v>
      </c>
      <c r="D15" s="545">
        <v>100</v>
      </c>
      <c r="E15" s="548"/>
      <c r="F15" s="545">
        <f>SUMIF(77:77,E16,78:78)-SUMIF(77:77,C16,78:78)+100</f>
        <v>100</v>
      </c>
      <c r="G15" s="546"/>
      <c r="H15" s="545">
        <f>SUMIF(77:77,G16,78:78)-SUMIF(77:77,C16,78:78)+100</f>
        <v>100</v>
      </c>
      <c r="I15" s="546"/>
      <c r="J15" s="545">
        <f>SUMIF(77:77,I16,78:78)-SUMIF(77:77,C16,78:78)+100</f>
        <v>100</v>
      </c>
      <c r="K15" s="893"/>
      <c r="L15" s="2137"/>
      <c r="M15" s="2129"/>
      <c r="N15" s="2129"/>
      <c r="O15" s="2129"/>
      <c r="P15" s="3465" t="s">
        <v>534</v>
      </c>
      <c r="Q15" s="1567" t="str">
        <f t="shared" si="6"/>
        <v>办公集聚程度</v>
      </c>
      <c r="R15" s="1568" t="s">
        <v>8</v>
      </c>
      <c r="S15" s="1569">
        <f t="shared" si="0"/>
        <v>100</v>
      </c>
      <c r="T15" s="1568" t="s">
        <v>8</v>
      </c>
      <c r="U15" s="1569">
        <f t="shared" si="1"/>
        <v>100</v>
      </c>
      <c r="V15" s="1568" t="s">
        <v>8</v>
      </c>
      <c r="W15" s="1569">
        <f t="shared" si="2"/>
        <v>100</v>
      </c>
      <c r="X15" s="1562"/>
      <c r="Y15" s="3465" t="s">
        <v>534</v>
      </c>
      <c r="Z15" s="1570" t="str">
        <f t="shared" si="7"/>
        <v>办公集聚程度</v>
      </c>
      <c r="AA15" s="1571">
        <f t="shared" si="3"/>
        <v>1</v>
      </c>
      <c r="AB15" s="1571">
        <f t="shared" si="4"/>
        <v>1</v>
      </c>
      <c r="AC15" s="1571">
        <f t="shared" si="5"/>
        <v>1</v>
      </c>
    </row>
    <row r="16" spans="1:29" ht="15">
      <c r="A16" s="528"/>
      <c r="B16" s="549"/>
      <c r="C16" s="550"/>
      <c r="D16" s="551"/>
      <c r="E16" s="572"/>
      <c r="F16" s="551"/>
      <c r="G16" s="550"/>
      <c r="H16" s="555"/>
      <c r="I16" s="572"/>
      <c r="J16" s="551"/>
      <c r="K16" s="894"/>
      <c r="L16" s="2137"/>
      <c r="M16" s="2129"/>
      <c r="N16" s="2129"/>
      <c r="O16" s="2129"/>
      <c r="P16" s="3466"/>
      <c r="Q16" s="1567"/>
      <c r="R16" s="1568"/>
      <c r="S16" s="1569"/>
      <c r="T16" s="1568"/>
      <c r="U16" s="1569"/>
      <c r="V16" s="1568"/>
      <c r="W16" s="1569"/>
      <c r="X16" s="1562"/>
      <c r="Y16" s="3466"/>
      <c r="Z16" s="1570"/>
      <c r="AA16" s="1571">
        <v>1</v>
      </c>
      <c r="AB16" s="1571">
        <v>1</v>
      </c>
      <c r="AC16" s="1571">
        <v>1</v>
      </c>
    </row>
    <row r="17" spans="1:29" ht="128.25">
      <c r="A17" s="528"/>
      <c r="B17" s="556" t="s">
        <v>289</v>
      </c>
      <c r="C17" s="569" t="str">
        <f>估价对象房地状况!C6</f>
        <v>估价对象周边1公里有92、840路等公交车及地铁1、9号线经过，公共交通通达情况较好、停车便捷程度较好，综合评价交通便捷度较好</v>
      </c>
      <c r="D17" s="555">
        <v>100</v>
      </c>
      <c r="E17" s="560"/>
      <c r="F17" s="555">
        <f>SUMIF(79:79,E18,80:80)-SUMIF(79:79,C18,80:80)+100</f>
        <v>100</v>
      </c>
      <c r="G17" s="558"/>
      <c r="H17" s="561">
        <f>SUMIF(79:79,G18,80:80)-SUMIF(79:79,C18,80:80)+100</f>
        <v>100</v>
      </c>
      <c r="I17" s="558"/>
      <c r="J17" s="561">
        <f>SUMIF(79:79,I18,80:80)-SUMIF(79:79,C18,80:80)+100</f>
        <v>100</v>
      </c>
      <c r="K17" s="893"/>
      <c r="L17" s="2137"/>
      <c r="M17" s="2129"/>
      <c r="N17" s="2129"/>
      <c r="O17" s="2129"/>
      <c r="P17" s="3466"/>
      <c r="Q17" s="1567" t="str">
        <f>B17</f>
        <v>交通便捷度</v>
      </c>
      <c r="R17" s="1568" t="s">
        <v>8</v>
      </c>
      <c r="S17" s="1569">
        <f>F17</f>
        <v>100</v>
      </c>
      <c r="T17" s="1568" t="s">
        <v>8</v>
      </c>
      <c r="U17" s="1569">
        <f>H17</f>
        <v>100</v>
      </c>
      <c r="V17" s="1568" t="s">
        <v>8</v>
      </c>
      <c r="W17" s="1569">
        <f>J17</f>
        <v>100</v>
      </c>
      <c r="X17" s="1562"/>
      <c r="Y17" s="3466"/>
      <c r="Z17" s="1570" t="str">
        <f>Q17</f>
        <v>交通便捷度</v>
      </c>
      <c r="AA17" s="1571">
        <f t="shared" si="3"/>
        <v>1</v>
      </c>
      <c r="AB17" s="1571">
        <f t="shared" si="4"/>
        <v>1</v>
      </c>
      <c r="AC17" s="1571">
        <f t="shared" si="5"/>
        <v>1</v>
      </c>
    </row>
    <row r="18" spans="1:29" ht="15">
      <c r="A18" s="528"/>
      <c r="B18" s="562"/>
      <c r="C18" s="563"/>
      <c r="D18" s="555"/>
      <c r="E18" s="565"/>
      <c r="F18" s="555"/>
      <c r="G18" s="564"/>
      <c r="H18" s="551"/>
      <c r="I18" s="564"/>
      <c r="J18" s="551"/>
      <c r="K18" s="894"/>
      <c r="L18" s="2137"/>
      <c r="M18" s="2129"/>
      <c r="N18" s="2129"/>
      <c r="O18" s="2129"/>
      <c r="P18" s="3466"/>
      <c r="Q18" s="1567"/>
      <c r="R18" s="1568"/>
      <c r="S18" s="1569"/>
      <c r="T18" s="1568"/>
      <c r="U18" s="1569"/>
      <c r="V18" s="1568"/>
      <c r="W18" s="1569"/>
      <c r="X18" s="1562"/>
      <c r="Y18" s="3466"/>
      <c r="Z18" s="1570"/>
      <c r="AA18" s="1571">
        <v>1</v>
      </c>
      <c r="AB18" s="1571">
        <v>1</v>
      </c>
      <c r="AC18" s="1571">
        <v>1</v>
      </c>
    </row>
    <row r="19" spans="1:29" ht="42.75">
      <c r="A19" s="528"/>
      <c r="B19" s="2622" t="s">
        <v>2543</v>
      </c>
      <c r="C19" s="569" t="str">
        <f>估价对象房地状况!C7</f>
        <v>估价对象所在区域公共配套设施齐备情况一般</v>
      </c>
      <c r="D19" s="561">
        <v>100</v>
      </c>
      <c r="E19" s="568"/>
      <c r="F19" s="561">
        <f>SUMIF(81:81,E20,82:82)-SUMIF(81:81,C20,82:82)+100</f>
        <v>100</v>
      </c>
      <c r="G19" s="566"/>
      <c r="H19" s="555">
        <f>SUMIF(81:81,G20,82:82)-SUMIF(81:81,C20,82:82)+100</f>
        <v>100</v>
      </c>
      <c r="I19" s="566"/>
      <c r="J19" s="555">
        <f>SUMIF(81:81,I20,82:82)-SUMIF(81:81,C20,82:82)+100</f>
        <v>100</v>
      </c>
      <c r="K19" s="893"/>
      <c r="L19" s="2137"/>
      <c r="M19" s="2129"/>
      <c r="N19" s="2129"/>
      <c r="O19" s="2129"/>
      <c r="P19" s="3466"/>
      <c r="Q19" s="1567" t="str">
        <f>B19</f>
        <v>公共配套设施</v>
      </c>
      <c r="R19" s="1568" t="s">
        <v>8</v>
      </c>
      <c r="S19" s="1569">
        <f>F19</f>
        <v>100</v>
      </c>
      <c r="T19" s="1568" t="s">
        <v>8</v>
      </c>
      <c r="U19" s="1569">
        <f>H19</f>
        <v>100</v>
      </c>
      <c r="V19" s="1568" t="s">
        <v>8</v>
      </c>
      <c r="W19" s="1569">
        <f>J19</f>
        <v>100</v>
      </c>
      <c r="X19" s="1562"/>
      <c r="Y19" s="3466"/>
      <c r="Z19" s="1570" t="str">
        <f>Q19</f>
        <v>公共配套设施</v>
      </c>
      <c r="AA19" s="1571">
        <f t="shared" si="3"/>
        <v>1</v>
      </c>
      <c r="AB19" s="1571">
        <f t="shared" si="4"/>
        <v>1</v>
      </c>
      <c r="AC19" s="1571">
        <f t="shared" si="5"/>
        <v>1</v>
      </c>
    </row>
    <row r="20" spans="1:29" ht="15">
      <c r="A20" s="528"/>
      <c r="B20" s="562"/>
      <c r="C20" s="550"/>
      <c r="D20" s="551"/>
      <c r="E20" s="554"/>
      <c r="F20" s="551"/>
      <c r="G20" s="552"/>
      <c r="H20" s="551"/>
      <c r="I20" s="552"/>
      <c r="J20" s="551"/>
      <c r="K20" s="894"/>
      <c r="L20" s="2137"/>
      <c r="M20" s="2129"/>
      <c r="N20" s="2129"/>
      <c r="O20" s="2129"/>
      <c r="P20" s="3466"/>
      <c r="Q20" s="1567"/>
      <c r="R20" s="1568"/>
      <c r="S20" s="1569"/>
      <c r="T20" s="1568"/>
      <c r="U20" s="1569"/>
      <c r="V20" s="1568"/>
      <c r="W20" s="1569"/>
      <c r="X20" s="1562"/>
      <c r="Y20" s="3466"/>
      <c r="Z20" s="1570"/>
      <c r="AA20" s="1571">
        <v>1</v>
      </c>
      <c r="AB20" s="1571">
        <v>1</v>
      </c>
      <c r="AC20" s="1571">
        <v>1</v>
      </c>
    </row>
    <row r="21" spans="1:29" ht="42.75">
      <c r="A21" s="528"/>
      <c r="B21" s="2610" t="s">
        <v>2555</v>
      </c>
      <c r="C21" s="569" t="str">
        <f>估价对象房地状况!C8</f>
        <v>估价对象所在区域基础设施水平-六通</v>
      </c>
      <c r="D21" s="561">
        <v>100</v>
      </c>
      <c r="E21" s="568"/>
      <c r="F21" s="561">
        <f>SUMIF(83:83,E22,84:84)-SUMIF(83:83,C22,84:84)+100</f>
        <v>100</v>
      </c>
      <c r="G21" s="566"/>
      <c r="H21" s="561">
        <f>SUMIF(83:83,G22,84:84)-SUMIF(83:83,C22,84:84)+100</f>
        <v>100</v>
      </c>
      <c r="I21" s="566"/>
      <c r="J21" s="561">
        <f>SUMIF(83:83,I22,84:84)-SUMIF(83:83,C22,84:84)+100</f>
        <v>100</v>
      </c>
      <c r="K21" s="893"/>
      <c r="L21" s="2137"/>
      <c r="M21" s="2129"/>
      <c r="N21" s="2129"/>
      <c r="O21" s="2129"/>
      <c r="P21" s="3466"/>
      <c r="Q21" s="2598" t="str">
        <f>B21</f>
        <v>基础设施水平</v>
      </c>
      <c r="R21" s="1568" t="s">
        <v>8</v>
      </c>
      <c r="S21" s="1569">
        <f>F21</f>
        <v>100</v>
      </c>
      <c r="T21" s="1568" t="s">
        <v>8</v>
      </c>
      <c r="U21" s="1569">
        <f>H21</f>
        <v>100</v>
      </c>
      <c r="V21" s="1568" t="s">
        <v>8</v>
      </c>
      <c r="W21" s="1569">
        <f>J21</f>
        <v>100</v>
      </c>
      <c r="X21" s="2600"/>
      <c r="Y21" s="3466"/>
      <c r="Z21" s="2599" t="str">
        <f>Q21</f>
        <v>基础设施水平</v>
      </c>
      <c r="AA21" s="1571">
        <f t="shared" ref="AA21" si="8">D21/F21</f>
        <v>1</v>
      </c>
      <c r="AB21" s="1571">
        <f t="shared" ref="AB21" si="9">D21/H21</f>
        <v>1</v>
      </c>
      <c r="AC21" s="1571">
        <f t="shared" ref="AC21" si="10">D21/J21</f>
        <v>1</v>
      </c>
    </row>
    <row r="22" spans="1:29" ht="15">
      <c r="A22" s="528"/>
      <c r="B22" s="574"/>
      <c r="C22" s="563"/>
      <c r="D22" s="551"/>
      <c r="E22" s="572"/>
      <c r="F22" s="551"/>
      <c r="G22" s="550"/>
      <c r="H22" s="551"/>
      <c r="I22" s="550"/>
      <c r="J22" s="551"/>
      <c r="K22" s="2621"/>
      <c r="L22" s="2137"/>
      <c r="M22" s="2129"/>
      <c r="N22" s="2129"/>
      <c r="O22" s="2129"/>
      <c r="P22" s="3466"/>
      <c r="Q22" s="2598"/>
      <c r="R22" s="1568"/>
      <c r="S22" s="1569"/>
      <c r="T22" s="1568"/>
      <c r="U22" s="1569"/>
      <c r="V22" s="1568"/>
      <c r="W22" s="1569"/>
      <c r="X22" s="2600"/>
      <c r="Y22" s="3466"/>
      <c r="Z22" s="2599"/>
      <c r="AA22" s="1571">
        <v>1</v>
      </c>
      <c r="AB22" s="1571">
        <v>1</v>
      </c>
      <c r="AC22" s="1571">
        <v>1</v>
      </c>
    </row>
    <row r="23" spans="1:29" ht="28.5">
      <c r="A23" s="528"/>
      <c r="B23" s="556" t="s">
        <v>771</v>
      </c>
      <c r="C23" s="569" t="str">
        <f>估价对象房地状况!C9</f>
        <v>周边2公里内区域自然环境较好</v>
      </c>
      <c r="D23" s="555">
        <v>100</v>
      </c>
      <c r="E23" s="560"/>
      <c r="F23" s="555">
        <f>SUMIF(85:85,E24,86:86)-SUMIF(85:85,C24,86:86)+100</f>
        <v>100</v>
      </c>
      <c r="G23" s="558"/>
      <c r="H23" s="555">
        <f>SUMIF(85:85,G24,86:86)-SUMIF(85:85,C24,86:86)+100</f>
        <v>100</v>
      </c>
      <c r="I23" s="558"/>
      <c r="J23" s="555">
        <f>SUMIF(85:85,I24,86:86)-SUMIF(85:85,C24,86:86)+100</f>
        <v>100</v>
      </c>
      <c r="K23" s="893"/>
      <c r="L23" s="2137"/>
      <c r="M23" s="2129"/>
      <c r="N23" s="2129"/>
      <c r="O23" s="2129"/>
      <c r="P23" s="3466"/>
      <c r="Q23" s="1567" t="str">
        <f>B23</f>
        <v>环境质量</v>
      </c>
      <c r="R23" s="1568" t="s">
        <v>8</v>
      </c>
      <c r="S23" s="1569">
        <f>F23</f>
        <v>100</v>
      </c>
      <c r="T23" s="1568" t="s">
        <v>8</v>
      </c>
      <c r="U23" s="1569">
        <f>H23</f>
        <v>100</v>
      </c>
      <c r="V23" s="1568" t="s">
        <v>8</v>
      </c>
      <c r="W23" s="1569">
        <f>J23</f>
        <v>100</v>
      </c>
      <c r="X23" s="1562"/>
      <c r="Y23" s="3466"/>
      <c r="Z23" s="1570" t="str">
        <f>Q23</f>
        <v>环境质量</v>
      </c>
      <c r="AA23" s="1571">
        <f t="shared" si="3"/>
        <v>1</v>
      </c>
      <c r="AB23" s="1571">
        <f t="shared" si="4"/>
        <v>1</v>
      </c>
      <c r="AC23" s="1571">
        <f t="shared" si="5"/>
        <v>1</v>
      </c>
    </row>
    <row r="24" spans="1:29" ht="15">
      <c r="A24" s="528"/>
      <c r="B24" s="574"/>
      <c r="C24" s="550"/>
      <c r="D24" s="551"/>
      <c r="E24" s="554"/>
      <c r="F24" s="551"/>
      <c r="G24" s="552"/>
      <c r="H24" s="551"/>
      <c r="I24" s="552"/>
      <c r="J24" s="551"/>
      <c r="K24" s="894"/>
      <c r="L24" s="2137"/>
      <c r="M24" s="2129"/>
      <c r="N24" s="2129"/>
      <c r="O24" s="2129"/>
      <c r="P24" s="3466"/>
      <c r="Q24" s="1567"/>
      <c r="R24" s="1568"/>
      <c r="S24" s="1569"/>
      <c r="T24" s="1568"/>
      <c r="U24" s="1569"/>
      <c r="V24" s="1568"/>
      <c r="W24" s="1569"/>
      <c r="X24" s="1562"/>
      <c r="Y24" s="3466"/>
      <c r="Z24" s="1570"/>
      <c r="AA24" s="1571">
        <v>1</v>
      </c>
      <c r="AB24" s="1571">
        <v>1</v>
      </c>
      <c r="AC24" s="1571">
        <v>1</v>
      </c>
    </row>
    <row r="25" spans="1:29" ht="27">
      <c r="A25" s="513"/>
      <c r="B25" s="556" t="s">
        <v>542</v>
      </c>
      <c r="C25" s="907"/>
      <c r="D25" s="536">
        <v>100</v>
      </c>
      <c r="E25" s="535"/>
      <c r="F25" s="536">
        <f>SUMIF(87:87,E26,88:88)-SUMIF(87:87,C26,88:88)+100</f>
        <v>100</v>
      </c>
      <c r="G25" s="907"/>
      <c r="H25" s="536">
        <f>SUMIF(87:87,G26,88:88)-SUMIF(87:87,C26,88:88)+100</f>
        <v>100</v>
      </c>
      <c r="I25" s="535"/>
      <c r="J25" s="536">
        <f>SUMIF(87:87,I26,88:88)-SUMIF(87:87,C26,88:88)+100</f>
        <v>100</v>
      </c>
      <c r="K25" s="893"/>
      <c r="L25" s="2137"/>
      <c r="M25" s="2129"/>
      <c r="N25" s="2129"/>
      <c r="O25" s="2129"/>
      <c r="P25" s="3466"/>
      <c r="Q25" s="1567" t="str">
        <f>B25</f>
        <v>毗邻道路的类型与等级</v>
      </c>
      <c r="R25" s="1568" t="s">
        <v>8</v>
      </c>
      <c r="S25" s="1569">
        <f>F25</f>
        <v>100</v>
      </c>
      <c r="T25" s="1568" t="s">
        <v>8</v>
      </c>
      <c r="U25" s="1569">
        <f>H25</f>
        <v>100</v>
      </c>
      <c r="V25" s="1568" t="s">
        <v>8</v>
      </c>
      <c r="W25" s="1569">
        <f>J25</f>
        <v>100</v>
      </c>
      <c r="X25" s="1562"/>
      <c r="Y25" s="3466"/>
      <c r="Z25" s="1570" t="str">
        <f>Q25</f>
        <v>毗邻道路的类型与等级</v>
      </c>
      <c r="AA25" s="1571">
        <f t="shared" si="3"/>
        <v>1</v>
      </c>
      <c r="AB25" s="1571">
        <f t="shared" si="4"/>
        <v>1</v>
      </c>
      <c r="AC25" s="1571">
        <f t="shared" si="5"/>
        <v>1</v>
      </c>
    </row>
    <row r="26" spans="1:29" ht="15">
      <c r="A26" s="513"/>
      <c r="B26" s="562"/>
      <c r="C26" s="576"/>
      <c r="D26" s="536"/>
      <c r="E26" s="579"/>
      <c r="F26" s="536"/>
      <c r="G26" s="576"/>
      <c r="H26" s="536"/>
      <c r="I26" s="579"/>
      <c r="J26" s="536"/>
      <c r="K26" s="894"/>
      <c r="L26" s="2137"/>
      <c r="M26" s="2129"/>
      <c r="N26" s="2129"/>
      <c r="O26" s="2129"/>
      <c r="P26" s="3466"/>
      <c r="Q26" s="1567"/>
      <c r="R26" s="1568"/>
      <c r="S26" s="1569"/>
      <c r="T26" s="1568"/>
      <c r="U26" s="1569"/>
      <c r="V26" s="1568"/>
      <c r="W26" s="1569"/>
      <c r="X26" s="1562"/>
      <c r="Y26" s="3466"/>
      <c r="Z26" s="1570"/>
      <c r="AA26" s="1571">
        <v>1</v>
      </c>
      <c r="AB26" s="1571">
        <v>1</v>
      </c>
      <c r="AC26" s="1571">
        <v>1</v>
      </c>
    </row>
    <row r="27" spans="1:29" ht="15">
      <c r="A27" s="528"/>
      <c r="B27" s="562" t="s">
        <v>754</v>
      </c>
      <c r="C27" s="576"/>
      <c r="D27" s="536">
        <v>100</v>
      </c>
      <c r="E27" s="579"/>
      <c r="F27" s="536">
        <f>SUMIF(89:89,E27,90:90)-SUMIF(89:89,C27,90:90)+100</f>
        <v>100</v>
      </c>
      <c r="G27" s="576"/>
      <c r="H27" s="536">
        <f>SUMIF(89:89,G27,90:90)-SUMIF(89:89,C27,90:90)+100</f>
        <v>100</v>
      </c>
      <c r="I27" s="579"/>
      <c r="J27" s="536">
        <f>SUMIF(89:89,I27,90:90)-SUMIF(89:89,C27,90:90)+100</f>
        <v>100</v>
      </c>
      <c r="K27" s="580"/>
      <c r="L27" s="2137"/>
      <c r="M27" s="2129"/>
      <c r="N27" s="2129"/>
      <c r="O27" s="2129"/>
      <c r="P27" s="3466"/>
      <c r="Q27" s="1567" t="str">
        <f t="shared" ref="Q27:Q47" si="11">B27</f>
        <v>楼层</v>
      </c>
      <c r="R27" s="1568" t="s">
        <v>8</v>
      </c>
      <c r="S27" s="1569">
        <f>F27</f>
        <v>100</v>
      </c>
      <c r="T27" s="1568" t="s">
        <v>8</v>
      </c>
      <c r="U27" s="1569">
        <f>H27</f>
        <v>100</v>
      </c>
      <c r="V27" s="1568" t="s">
        <v>8</v>
      </c>
      <c r="W27" s="1569">
        <f>J27</f>
        <v>100</v>
      </c>
      <c r="X27" s="1562"/>
      <c r="Y27" s="3466"/>
      <c r="Z27" s="1570" t="str">
        <f>Q27</f>
        <v>楼层</v>
      </c>
      <c r="AA27" s="1571">
        <f t="shared" si="3"/>
        <v>1</v>
      </c>
      <c r="AB27" s="1571">
        <f t="shared" si="4"/>
        <v>1</v>
      </c>
      <c r="AC27" s="1571">
        <f t="shared" si="5"/>
        <v>1</v>
      </c>
    </row>
    <row r="28" spans="1:29" s="1215" customFormat="1" ht="15">
      <c r="A28" s="532"/>
      <c r="B28" s="556" t="s">
        <v>772</v>
      </c>
      <c r="C28" s="908"/>
      <c r="D28" s="871">
        <v>100</v>
      </c>
      <c r="E28" s="896"/>
      <c r="F28" s="871">
        <f>SUMIF(91:91,E28,92:92)-SUMIF(91:91,C28,92:92)+100</f>
        <v>100</v>
      </c>
      <c r="G28" s="908"/>
      <c r="H28" s="871">
        <f>SUMIF(91:91,G28,92:92)-SUMIF(91:91,C28,92:92)+100</f>
        <v>100</v>
      </c>
      <c r="I28" s="896"/>
      <c r="J28" s="871">
        <f>SUMIF(91:91,I28,92:92)-SUMIF(91:91,C28,92:92)+100</f>
        <v>100</v>
      </c>
      <c r="K28" s="580"/>
      <c r="L28" s="2130"/>
      <c r="M28" s="2131"/>
      <c r="N28" s="2131"/>
      <c r="O28" s="2131"/>
      <c r="P28" s="3466"/>
      <c r="Q28" s="1146" t="str">
        <f t="shared" si="11"/>
        <v>朝向</v>
      </c>
      <c r="R28" s="1563" t="s">
        <v>8</v>
      </c>
      <c r="S28" s="1564">
        <f>F28</f>
        <v>100</v>
      </c>
      <c r="T28" s="1563" t="s">
        <v>8</v>
      </c>
      <c r="U28" s="1564">
        <f>H28</f>
        <v>100</v>
      </c>
      <c r="V28" s="1563" t="s">
        <v>8</v>
      </c>
      <c r="W28" s="1564">
        <f>J28</f>
        <v>100</v>
      </c>
      <c r="X28" s="1565"/>
      <c r="Y28" s="3466"/>
      <c r="Z28" s="1145" t="str">
        <f>Q28</f>
        <v>朝向</v>
      </c>
      <c r="AA28" s="1571">
        <f>D28/F28</f>
        <v>1</v>
      </c>
      <c r="AB28" s="1571">
        <f>D28/H28</f>
        <v>1</v>
      </c>
      <c r="AC28" s="1571">
        <f>D28/J28</f>
        <v>1</v>
      </c>
    </row>
    <row r="29" spans="1:29" ht="15">
      <c r="A29" s="528"/>
      <c r="B29" s="581">
        <v>111</v>
      </c>
      <c r="C29" s="907"/>
      <c r="D29" s="536">
        <v>100</v>
      </c>
      <c r="E29" s="526"/>
      <c r="F29" s="536">
        <f>SUMIF(93:93,E29,94:94)-SUMIF(93:93,C29,94:94)+100</f>
        <v>100</v>
      </c>
      <c r="G29" s="905"/>
      <c r="H29" s="536">
        <f>SUMIF(93:93,G29,94:94)-SUMIF(93:93,C29,94:94)+100</f>
        <v>100</v>
      </c>
      <c r="I29" s="526"/>
      <c r="J29" s="536">
        <f>SUMIF(93:93,I29,94:94)-SUMIF(93:93,C29,94:94)+100</f>
        <v>100</v>
      </c>
      <c r="K29" s="577"/>
      <c r="L29" s="2137"/>
      <c r="M29" s="2129"/>
      <c r="N29" s="2129"/>
      <c r="O29" s="2129"/>
      <c r="P29" s="3466"/>
      <c r="Q29" s="1567">
        <f t="shared" si="11"/>
        <v>111</v>
      </c>
      <c r="R29" s="1568" t="s">
        <v>8</v>
      </c>
      <c r="S29" s="1569">
        <f t="shared" ref="S29:S47" si="12">F29</f>
        <v>100</v>
      </c>
      <c r="T29" s="1568" t="s">
        <v>8</v>
      </c>
      <c r="U29" s="1569">
        <f t="shared" ref="U29:U47" si="13">H29</f>
        <v>100</v>
      </c>
      <c r="V29" s="1568" t="s">
        <v>8</v>
      </c>
      <c r="W29" s="1569">
        <f t="shared" ref="W29:W47" si="14">J29</f>
        <v>100</v>
      </c>
      <c r="X29" s="1562"/>
      <c r="Y29" s="3466"/>
      <c r="Z29" s="1570">
        <f t="shared" ref="Z29:Z47" si="15">Q29</f>
        <v>111</v>
      </c>
      <c r="AA29" s="1571">
        <f t="shared" si="3"/>
        <v>1</v>
      </c>
      <c r="AB29" s="1571">
        <f t="shared" si="4"/>
        <v>1</v>
      </c>
      <c r="AC29" s="1571">
        <f t="shared" si="5"/>
        <v>1</v>
      </c>
    </row>
    <row r="30" spans="1:29" ht="15">
      <c r="A30" s="528"/>
      <c r="B30" s="581">
        <v>111</v>
      </c>
      <c r="C30" s="907"/>
      <c r="D30" s="536">
        <v>100</v>
      </c>
      <c r="E30" s="526"/>
      <c r="F30" s="536">
        <f>SUMIF(95:95,E30,96:96)-SUMIF(95:95,C30,96:96)+100</f>
        <v>100</v>
      </c>
      <c r="G30" s="905"/>
      <c r="H30" s="536">
        <f>SUMIF(95:95,G30,96:96)-SUMIF(95:95,C30,96:96)+100</f>
        <v>100</v>
      </c>
      <c r="I30" s="526"/>
      <c r="J30" s="536">
        <f>SUMIF(95:95,I30,96:96)-SUMIF(95:95,C30,96:96)+100</f>
        <v>100</v>
      </c>
      <c r="K30" s="577"/>
      <c r="L30" s="2137"/>
      <c r="M30" s="2129"/>
      <c r="N30" s="2129"/>
      <c r="O30" s="2129"/>
      <c r="P30" s="3466"/>
      <c r="Q30" s="1567">
        <f t="shared" si="11"/>
        <v>111</v>
      </c>
      <c r="R30" s="1568" t="s">
        <v>8</v>
      </c>
      <c r="S30" s="1569">
        <f t="shared" si="12"/>
        <v>100</v>
      </c>
      <c r="T30" s="1568" t="s">
        <v>8</v>
      </c>
      <c r="U30" s="1569">
        <f t="shared" si="13"/>
        <v>100</v>
      </c>
      <c r="V30" s="1568" t="s">
        <v>8</v>
      </c>
      <c r="W30" s="1569">
        <f t="shared" si="14"/>
        <v>100</v>
      </c>
      <c r="X30" s="1562"/>
      <c r="Y30" s="3466"/>
      <c r="Z30" s="1570">
        <f t="shared" si="15"/>
        <v>111</v>
      </c>
      <c r="AA30" s="1571">
        <f t="shared" si="3"/>
        <v>1</v>
      </c>
      <c r="AB30" s="1571">
        <f t="shared" si="4"/>
        <v>1</v>
      </c>
      <c r="AC30" s="1571">
        <f t="shared" si="5"/>
        <v>1</v>
      </c>
    </row>
    <row r="31" spans="1:29" ht="15">
      <c r="A31" s="528"/>
      <c r="B31" s="581">
        <v>111</v>
      </c>
      <c r="C31" s="907"/>
      <c r="D31" s="536">
        <v>100</v>
      </c>
      <c r="E31" s="526"/>
      <c r="F31" s="536">
        <f>SUMIF(97:97,E31,98:98)-SUMIF(97:97,C31,98:98)+100</f>
        <v>100</v>
      </c>
      <c r="G31" s="905"/>
      <c r="H31" s="536">
        <f>SUMIF(97:97,G31,98:98)-SUMIF(97:97,C31,98:98)+100</f>
        <v>100</v>
      </c>
      <c r="I31" s="526"/>
      <c r="J31" s="536">
        <f>SUMIF(97:97,I31,98:98)-SUMIF(97:97,C31,98:98)+100</f>
        <v>100</v>
      </c>
      <c r="K31" s="577"/>
      <c r="L31" s="2137"/>
      <c r="M31" s="2129"/>
      <c r="N31" s="2129"/>
      <c r="O31" s="2129"/>
      <c r="P31" s="3466"/>
      <c r="Q31" s="1567">
        <f t="shared" si="11"/>
        <v>111</v>
      </c>
      <c r="R31" s="1568" t="s">
        <v>8</v>
      </c>
      <c r="S31" s="1569">
        <f t="shared" si="12"/>
        <v>100</v>
      </c>
      <c r="T31" s="1568" t="s">
        <v>8</v>
      </c>
      <c r="U31" s="1569">
        <f t="shared" si="13"/>
        <v>100</v>
      </c>
      <c r="V31" s="1568" t="s">
        <v>8</v>
      </c>
      <c r="W31" s="1569">
        <f t="shared" si="14"/>
        <v>100</v>
      </c>
      <c r="X31" s="1562"/>
      <c r="Y31" s="3466"/>
      <c r="Z31" s="1570">
        <f t="shared" si="15"/>
        <v>111</v>
      </c>
      <c r="AA31" s="1571">
        <f t="shared" si="3"/>
        <v>1</v>
      </c>
      <c r="AB31" s="1571">
        <f t="shared" si="4"/>
        <v>1</v>
      </c>
      <c r="AC31" s="1571">
        <f t="shared" si="5"/>
        <v>1</v>
      </c>
    </row>
    <row r="32" spans="1:29" ht="15.75" thickBot="1">
      <c r="A32" s="539"/>
      <c r="B32" s="909">
        <v>111</v>
      </c>
      <c r="C32" s="910"/>
      <c r="D32" s="542">
        <v>100</v>
      </c>
      <c r="E32" s="906"/>
      <c r="F32" s="542">
        <f>SUMIF(99:99,E32,100:100)-SUMIF(99:99,C32,100:100)+100</f>
        <v>100</v>
      </c>
      <c r="G32" s="905"/>
      <c r="H32" s="542">
        <f>SUMIF(99:99,G32,100:100)-SUMIF(99:99,C32,100:100)+100</f>
        <v>100</v>
      </c>
      <c r="I32" s="526"/>
      <c r="J32" s="542">
        <f>SUMIF(99:99,I32,100:100)-SUMIF(99:99,C32,100:100)+100</f>
        <v>100</v>
      </c>
      <c r="K32" s="577"/>
      <c r="L32" s="2137"/>
      <c r="M32" s="2129"/>
      <c r="N32" s="2129"/>
      <c r="O32" s="2129"/>
      <c r="P32" s="3466"/>
      <c r="Q32" s="1567">
        <f t="shared" si="11"/>
        <v>111</v>
      </c>
      <c r="R32" s="1568" t="s">
        <v>8</v>
      </c>
      <c r="S32" s="1569">
        <f t="shared" si="12"/>
        <v>100</v>
      </c>
      <c r="T32" s="1568" t="s">
        <v>8</v>
      </c>
      <c r="U32" s="1569">
        <f t="shared" si="13"/>
        <v>100</v>
      </c>
      <c r="V32" s="1568" t="s">
        <v>8</v>
      </c>
      <c r="W32" s="1569">
        <f t="shared" si="14"/>
        <v>100</v>
      </c>
      <c r="X32" s="1562"/>
      <c r="Y32" s="3466"/>
      <c r="Z32" s="1570">
        <f t="shared" si="15"/>
        <v>111</v>
      </c>
      <c r="AA32" s="1571">
        <f t="shared" si="3"/>
        <v>1</v>
      </c>
      <c r="AB32" s="1571">
        <f t="shared" si="4"/>
        <v>1</v>
      </c>
      <c r="AC32" s="1571">
        <f t="shared" si="5"/>
        <v>1</v>
      </c>
    </row>
    <row r="33" spans="1:29" ht="15">
      <c r="A33" s="2928" t="s">
        <v>2754</v>
      </c>
      <c r="B33" s="171" t="s">
        <v>773</v>
      </c>
      <c r="C33" s="911"/>
      <c r="D33" s="593">
        <v>100</v>
      </c>
      <c r="E33" s="911"/>
      <c r="F33" s="571">
        <f>SUMIF(101:101,E33,102:102)-SUMIF(101:101,C33,102:102)+100</f>
        <v>100</v>
      </c>
      <c r="G33" s="911"/>
      <c r="H33" s="536">
        <f>SUMIF(101:101,G33,102:102)-SUMIF(101:101,C33,102:102)+100</f>
        <v>100</v>
      </c>
      <c r="I33" s="911"/>
      <c r="J33" s="593">
        <f>SUMIF(101:101,I33,102:102)-SUMIF(101:101,C33,102:102)+100</f>
        <v>100</v>
      </c>
      <c r="K33" s="580"/>
      <c r="L33" s="2137"/>
      <c r="M33" s="2129"/>
      <c r="N33" s="2129"/>
      <c r="O33" s="2129"/>
      <c r="P33" s="3467" t="s">
        <v>544</v>
      </c>
      <c r="Q33" s="1567" t="str">
        <f t="shared" si="11"/>
        <v>建筑类型</v>
      </c>
      <c r="R33" s="1568" t="s">
        <v>8</v>
      </c>
      <c r="S33" s="1569">
        <f t="shared" si="12"/>
        <v>100</v>
      </c>
      <c r="T33" s="1568" t="s">
        <v>8</v>
      </c>
      <c r="U33" s="1569">
        <f t="shared" si="13"/>
        <v>100</v>
      </c>
      <c r="V33" s="1568" t="s">
        <v>8</v>
      </c>
      <c r="W33" s="1569">
        <f t="shared" si="14"/>
        <v>100</v>
      </c>
      <c r="X33" s="1562"/>
      <c r="Y33" s="3468" t="s">
        <v>544</v>
      </c>
      <c r="Z33" s="1570" t="str">
        <f t="shared" si="15"/>
        <v>建筑类型</v>
      </c>
      <c r="AA33" s="1571">
        <f t="shared" si="3"/>
        <v>1</v>
      </c>
      <c r="AB33" s="1571">
        <f t="shared" si="4"/>
        <v>1</v>
      </c>
      <c r="AC33" s="1571">
        <f t="shared" si="5"/>
        <v>1</v>
      </c>
    </row>
    <row r="34" spans="1:29" s="1334" customFormat="1" ht="15">
      <c r="A34" s="599"/>
      <c r="B34" s="525" t="s">
        <v>720</v>
      </c>
      <c r="C34" s="875"/>
      <c r="D34" s="250">
        <v>100</v>
      </c>
      <c r="E34" s="530"/>
      <c r="F34" s="859" t="e">
        <f>LOOKUP(E34,104:104,105:105)-LOOKUP(C34,104:104,105:105)+100</f>
        <v>#N/A</v>
      </c>
      <c r="G34" s="529"/>
      <c r="H34" s="250" t="e">
        <f>LOOKUP(G34,104:104,105:105)-LOOKUP(C34,104:104,105:105)+100</f>
        <v>#N/A</v>
      </c>
      <c r="I34" s="529"/>
      <c r="J34" s="250" t="e">
        <f>LOOKUP(I34,104:104,105:105)-LOOKUP(C34,104:104,105:105)+100</f>
        <v>#N/A</v>
      </c>
      <c r="K34" s="577"/>
      <c r="L34" s="2135"/>
      <c r="M34" s="2166"/>
      <c r="N34" s="2166"/>
      <c r="O34" s="2166"/>
      <c r="P34" s="3468"/>
      <c r="Q34" s="1600" t="str">
        <f t="shared" si="11"/>
        <v>项目建筑规模</v>
      </c>
      <c r="R34" s="1572" t="s">
        <v>8</v>
      </c>
      <c r="S34" s="1573" t="e">
        <f t="shared" si="12"/>
        <v>#N/A</v>
      </c>
      <c r="T34" s="1572" t="s">
        <v>8</v>
      </c>
      <c r="U34" s="1573" t="e">
        <f t="shared" si="13"/>
        <v>#N/A</v>
      </c>
      <c r="V34" s="1572" t="s">
        <v>8</v>
      </c>
      <c r="W34" s="1573" t="e">
        <f t="shared" si="14"/>
        <v>#N/A</v>
      </c>
      <c r="X34" s="1574"/>
      <c r="Y34" s="3468"/>
      <c r="Z34" s="1575" t="str">
        <f t="shared" si="15"/>
        <v>项目建筑规模</v>
      </c>
      <c r="AA34" s="1571" t="e">
        <f t="shared" si="3"/>
        <v>#N/A</v>
      </c>
      <c r="AB34" s="1571" t="e">
        <f t="shared" si="4"/>
        <v>#N/A</v>
      </c>
      <c r="AC34" s="1571" t="e">
        <f t="shared" si="5"/>
        <v>#N/A</v>
      </c>
    </row>
    <row r="35" spans="1:29" ht="15">
      <c r="A35" s="590"/>
      <c r="B35" s="525" t="s">
        <v>721</v>
      </c>
      <c r="C35" s="570"/>
      <c r="D35" s="536">
        <v>100</v>
      </c>
      <c r="E35" s="570"/>
      <c r="F35" s="571">
        <f>SUMIF(106:106,E35,107:107)-SUMIF(106:106,C35,107:107)+100</f>
        <v>100</v>
      </c>
      <c r="G35" s="570"/>
      <c r="H35" s="536">
        <f>SUMIF(106:106,G35,107:107)-SUMIF(106:106,C35,107:107)+100</f>
        <v>100</v>
      </c>
      <c r="I35" s="570"/>
      <c r="J35" s="536">
        <f>SUMIF(106:106,I35,107:107)-SUMIF(106:106,C35,107:107)+100</f>
        <v>100</v>
      </c>
      <c r="K35" s="580"/>
      <c r="L35" s="2137"/>
      <c r="M35" s="2129"/>
      <c r="N35" s="2129"/>
      <c r="O35" s="2129"/>
      <c r="P35" s="3468"/>
      <c r="Q35" s="1567" t="str">
        <f t="shared" si="11"/>
        <v>建筑结构</v>
      </c>
      <c r="R35" s="1568" t="s">
        <v>8</v>
      </c>
      <c r="S35" s="1569">
        <f t="shared" si="12"/>
        <v>100</v>
      </c>
      <c r="T35" s="1568" t="s">
        <v>8</v>
      </c>
      <c r="U35" s="1569">
        <f t="shared" si="13"/>
        <v>100</v>
      </c>
      <c r="V35" s="1568" t="s">
        <v>8</v>
      </c>
      <c r="W35" s="1569">
        <f t="shared" si="14"/>
        <v>100</v>
      </c>
      <c r="X35" s="1562"/>
      <c r="Y35" s="3468"/>
      <c r="Z35" s="1570" t="str">
        <f t="shared" si="15"/>
        <v>建筑结构</v>
      </c>
      <c r="AA35" s="1571">
        <f t="shared" si="3"/>
        <v>1</v>
      </c>
      <c r="AB35" s="1571">
        <f t="shared" si="4"/>
        <v>1</v>
      </c>
      <c r="AC35" s="1571">
        <f t="shared" si="5"/>
        <v>1</v>
      </c>
    </row>
    <row r="36" spans="1:29" ht="15">
      <c r="A36" s="590"/>
      <c r="B36" s="525" t="s">
        <v>756</v>
      </c>
      <c r="C36" s="570"/>
      <c r="D36" s="536">
        <v>100</v>
      </c>
      <c r="E36" s="570"/>
      <c r="F36" s="571">
        <f>SUMIF(108:108,E36,109:109)-SUMIF(108:108,C36,109:109)+100</f>
        <v>100</v>
      </c>
      <c r="G36" s="570"/>
      <c r="H36" s="536">
        <f>SUMIF(108:108,G36,109:109)-SUMIF(108:108,C36,109:109)+100</f>
        <v>100</v>
      </c>
      <c r="I36" s="570"/>
      <c r="J36" s="536">
        <f>SUMIF(108:108,I36,109:109)-SUMIF(108:108,C36,109:109)+100</f>
        <v>100</v>
      </c>
      <c r="K36" s="580"/>
      <c r="L36" s="2137"/>
      <c r="M36" s="2129"/>
      <c r="N36" s="2129"/>
      <c r="O36" s="2129"/>
      <c r="P36" s="3468"/>
      <c r="Q36" s="1567" t="str">
        <f t="shared" si="11"/>
        <v>公共部分装修</v>
      </c>
      <c r="R36" s="1568" t="s">
        <v>8</v>
      </c>
      <c r="S36" s="1569">
        <f t="shared" si="12"/>
        <v>100</v>
      </c>
      <c r="T36" s="1568" t="s">
        <v>8</v>
      </c>
      <c r="U36" s="1569">
        <f t="shared" si="13"/>
        <v>100</v>
      </c>
      <c r="V36" s="1568" t="s">
        <v>8</v>
      </c>
      <c r="W36" s="1569">
        <f t="shared" si="14"/>
        <v>100</v>
      </c>
      <c r="X36" s="1562"/>
      <c r="Y36" s="3468"/>
      <c r="Z36" s="1570" t="str">
        <f t="shared" si="15"/>
        <v>公共部分装修</v>
      </c>
      <c r="AA36" s="1571">
        <f t="shared" si="3"/>
        <v>1</v>
      </c>
      <c r="AB36" s="1571">
        <f t="shared" si="4"/>
        <v>1</v>
      </c>
      <c r="AC36" s="1571">
        <f t="shared" si="5"/>
        <v>1</v>
      </c>
    </row>
    <row r="37" spans="1:29" ht="15">
      <c r="A37" s="590"/>
      <c r="B37" s="525" t="s">
        <v>757</v>
      </c>
      <c r="C37" s="878"/>
      <c r="D37" s="536">
        <v>100</v>
      </c>
      <c r="E37" s="878"/>
      <c r="F37" s="571" t="e">
        <f>LOOKUP(E37,111:111,112:112)-LOOKUP(C37,111:111,112:112)+100</f>
        <v>#N/A</v>
      </c>
      <c r="G37" s="878"/>
      <c r="H37" s="571" t="e">
        <f>LOOKUP(G37,111:111,112:112)-LOOKUP(C37,111:111,112:112)+100</f>
        <v>#N/A</v>
      </c>
      <c r="I37" s="878"/>
      <c r="J37" s="536" t="e">
        <f>LOOKUP(I37,111:111,112:112)-LOOKUP(C37,111:111,112:112)+100</f>
        <v>#N/A</v>
      </c>
      <c r="K37" s="580"/>
      <c r="L37" s="2137"/>
      <c r="M37" s="2129"/>
      <c r="N37" s="2129"/>
      <c r="O37" s="2129"/>
      <c r="P37" s="3468"/>
      <c r="Q37" s="1567" t="str">
        <f t="shared" si="11"/>
        <v>成新度</v>
      </c>
      <c r="R37" s="1568" t="s">
        <v>8</v>
      </c>
      <c r="S37" s="1569" t="e">
        <f t="shared" si="12"/>
        <v>#N/A</v>
      </c>
      <c r="T37" s="1568" t="s">
        <v>8</v>
      </c>
      <c r="U37" s="1569" t="e">
        <f t="shared" si="13"/>
        <v>#N/A</v>
      </c>
      <c r="V37" s="1568" t="s">
        <v>8</v>
      </c>
      <c r="W37" s="1569" t="e">
        <f t="shared" si="14"/>
        <v>#N/A</v>
      </c>
      <c r="X37" s="1562"/>
      <c r="Y37" s="3468"/>
      <c r="Z37" s="1570" t="str">
        <f t="shared" si="15"/>
        <v>成新度</v>
      </c>
      <c r="AA37" s="1571" t="e">
        <f t="shared" si="3"/>
        <v>#N/A</v>
      </c>
      <c r="AB37" s="1571" t="e">
        <f t="shared" si="4"/>
        <v>#N/A</v>
      </c>
      <c r="AC37" s="1571" t="e">
        <f t="shared" si="5"/>
        <v>#N/A</v>
      </c>
    </row>
    <row r="38" spans="1:29" s="1215" customFormat="1" ht="15">
      <c r="A38" s="596"/>
      <c r="B38" s="525" t="s">
        <v>774</v>
      </c>
      <c r="C38" s="570"/>
      <c r="D38" s="250">
        <v>100</v>
      </c>
      <c r="E38" s="570"/>
      <c r="F38" s="571">
        <f>SUMIF(113:113,E38,114:114)-SUMIF(113:113,C38,114:114)+100</f>
        <v>100</v>
      </c>
      <c r="G38" s="570"/>
      <c r="H38" s="536">
        <f>SUMIF(113:113,G38,114:114)-SUMIF(113:113,C38,114:114)+100</f>
        <v>100</v>
      </c>
      <c r="I38" s="570"/>
      <c r="J38" s="536">
        <f>SUMIF(113:113,I38,114:114)-SUMIF(113:113,C38,114:114)+100</f>
        <v>100</v>
      </c>
      <c r="K38" s="580"/>
      <c r="L38" s="2130"/>
      <c r="M38" s="2131"/>
      <c r="N38" s="2131"/>
      <c r="O38" s="2131"/>
      <c r="P38" s="3468"/>
      <c r="Q38" s="1146" t="str">
        <f t="shared" si="11"/>
        <v>写字楼等级</v>
      </c>
      <c r="R38" s="1563" t="s">
        <v>8</v>
      </c>
      <c r="S38" s="1564">
        <f t="shared" si="12"/>
        <v>100</v>
      </c>
      <c r="T38" s="1563" t="s">
        <v>8</v>
      </c>
      <c r="U38" s="1564">
        <f t="shared" si="13"/>
        <v>100</v>
      </c>
      <c r="V38" s="1563" t="s">
        <v>8</v>
      </c>
      <c r="W38" s="1564">
        <f t="shared" si="14"/>
        <v>100</v>
      </c>
      <c r="X38" s="1565"/>
      <c r="Y38" s="3468"/>
      <c r="Z38" s="1145" t="str">
        <f t="shared" si="15"/>
        <v>写字楼等级</v>
      </c>
      <c r="AA38" s="1566">
        <f t="shared" si="3"/>
        <v>1</v>
      </c>
      <c r="AB38" s="1566">
        <f t="shared" si="4"/>
        <v>1</v>
      </c>
      <c r="AC38" s="1566">
        <f t="shared" si="5"/>
        <v>1</v>
      </c>
    </row>
    <row r="39" spans="1:29" ht="15">
      <c r="A39" s="590"/>
      <c r="B39" s="525" t="s">
        <v>775</v>
      </c>
      <c r="C39" s="570"/>
      <c r="D39" s="536">
        <v>100</v>
      </c>
      <c r="E39" s="570"/>
      <c r="F39" s="571">
        <f>SUMIF(115:115,E39,116:116)-SUMIF(115:115,C39,116:116)+100</f>
        <v>100</v>
      </c>
      <c r="G39" s="570"/>
      <c r="H39" s="536">
        <f>SUMIF(115:115,G39,116:116)-SUMIF(115:115,C39,116:116)+100</f>
        <v>100</v>
      </c>
      <c r="I39" s="570"/>
      <c r="J39" s="536">
        <f>SUMIF(115:115,I39,116:116)-SUMIF(115:115,C39,116:116)+100</f>
        <v>100</v>
      </c>
      <c r="K39" s="580"/>
      <c r="L39" s="2137"/>
      <c r="M39" s="2129"/>
      <c r="N39" s="2129"/>
      <c r="O39" s="2129"/>
      <c r="P39" s="3468" t="s">
        <v>544</v>
      </c>
      <c r="Q39" s="1567" t="str">
        <f t="shared" si="11"/>
        <v>物业管理</v>
      </c>
      <c r="R39" s="1568" t="s">
        <v>8</v>
      </c>
      <c r="S39" s="1569">
        <f t="shared" si="12"/>
        <v>100</v>
      </c>
      <c r="T39" s="1568" t="s">
        <v>8</v>
      </c>
      <c r="U39" s="1569">
        <f t="shared" si="13"/>
        <v>100</v>
      </c>
      <c r="V39" s="1568" t="s">
        <v>8</v>
      </c>
      <c r="W39" s="1569">
        <f t="shared" si="14"/>
        <v>100</v>
      </c>
      <c r="X39" s="1562"/>
      <c r="Y39" s="3468" t="s">
        <v>544</v>
      </c>
      <c r="Z39" s="1570" t="str">
        <f t="shared" si="15"/>
        <v>物业管理</v>
      </c>
      <c r="AA39" s="1571">
        <f t="shared" si="3"/>
        <v>1</v>
      </c>
      <c r="AB39" s="1571">
        <f t="shared" si="4"/>
        <v>1</v>
      </c>
      <c r="AC39" s="1571">
        <f t="shared" si="5"/>
        <v>1</v>
      </c>
    </row>
    <row r="40" spans="1:29" ht="15">
      <c r="A40" s="590"/>
      <c r="B40" s="1890" t="s">
        <v>2562</v>
      </c>
      <c r="C40" s="570"/>
      <c r="D40" s="536">
        <v>100</v>
      </c>
      <c r="E40" s="570"/>
      <c r="F40" s="571">
        <f>SUMIF(117:117,E40,118:118)-SUMIF(117:117,C40,118:118)+100</f>
        <v>100</v>
      </c>
      <c r="G40" s="570"/>
      <c r="H40" s="536">
        <f>SUMIF(117:117,G40,118:118)-SUMIF(117:117,C40,118:118)+100</f>
        <v>100</v>
      </c>
      <c r="I40" s="570"/>
      <c r="J40" s="536">
        <f>SUMIF(117:117,I40,118:118)-SUMIF(117:117,C40,118:118)+100</f>
        <v>100</v>
      </c>
      <c r="K40" s="580"/>
      <c r="L40" s="2137"/>
      <c r="M40" s="2129"/>
      <c r="N40" s="2129"/>
      <c r="O40" s="2129"/>
      <c r="P40" s="3468"/>
      <c r="Q40" s="1567" t="str">
        <f t="shared" si="11"/>
        <v>市政基础设施</v>
      </c>
      <c r="R40" s="1568" t="s">
        <v>8</v>
      </c>
      <c r="S40" s="1569">
        <f t="shared" si="12"/>
        <v>100</v>
      </c>
      <c r="T40" s="1568" t="s">
        <v>8</v>
      </c>
      <c r="U40" s="1569">
        <f t="shared" si="13"/>
        <v>100</v>
      </c>
      <c r="V40" s="1568" t="s">
        <v>8</v>
      </c>
      <c r="W40" s="1569">
        <f t="shared" si="14"/>
        <v>100</v>
      </c>
      <c r="X40" s="1562"/>
      <c r="Y40" s="3468"/>
      <c r="Z40" s="1570" t="str">
        <f t="shared" si="15"/>
        <v>市政基础设施</v>
      </c>
      <c r="AA40" s="1571">
        <f t="shared" si="3"/>
        <v>1</v>
      </c>
      <c r="AB40" s="1571">
        <f t="shared" si="4"/>
        <v>1</v>
      </c>
      <c r="AC40" s="1571">
        <f t="shared" si="5"/>
        <v>1</v>
      </c>
    </row>
    <row r="41" spans="1:29" ht="15">
      <c r="A41" s="590"/>
      <c r="B41" s="525" t="s">
        <v>760</v>
      </c>
      <c r="C41" s="579"/>
      <c r="D41" s="536">
        <v>100</v>
      </c>
      <c r="E41" s="579"/>
      <c r="F41" s="571">
        <f>SUMIF(119:119,E41,120:120)-SUMIF(119:119,C41,120:120)+100</f>
        <v>100</v>
      </c>
      <c r="G41" s="579"/>
      <c r="H41" s="536">
        <f>SUMIF(119:119,G41,120:120)-SUMIF(119:119,C41,120:120)+100</f>
        <v>100</v>
      </c>
      <c r="I41" s="579"/>
      <c r="J41" s="536">
        <f>SUMIF(119:119,I41,120:120)-SUMIF(119:119,C41,120:120)+100</f>
        <v>100</v>
      </c>
      <c r="K41" s="580"/>
      <c r="L41" s="2137"/>
      <c r="M41" s="2129"/>
      <c r="N41" s="2129"/>
      <c r="O41" s="2129"/>
      <c r="P41" s="3468"/>
      <c r="Q41" s="1567" t="str">
        <f t="shared" si="11"/>
        <v>层高</v>
      </c>
      <c r="R41" s="1568" t="s">
        <v>8</v>
      </c>
      <c r="S41" s="1569">
        <f t="shared" si="12"/>
        <v>100</v>
      </c>
      <c r="T41" s="1568" t="s">
        <v>8</v>
      </c>
      <c r="U41" s="1569">
        <f t="shared" si="13"/>
        <v>100</v>
      </c>
      <c r="V41" s="1568" t="s">
        <v>8</v>
      </c>
      <c r="W41" s="1569">
        <f t="shared" si="14"/>
        <v>100</v>
      </c>
      <c r="X41" s="1562"/>
      <c r="Y41" s="3468"/>
      <c r="Z41" s="1570" t="str">
        <f t="shared" si="15"/>
        <v>层高</v>
      </c>
      <c r="AA41" s="1571">
        <f t="shared" si="3"/>
        <v>1</v>
      </c>
      <c r="AB41" s="1571">
        <f t="shared" si="4"/>
        <v>1</v>
      </c>
      <c r="AC41" s="1571">
        <f t="shared" si="5"/>
        <v>1</v>
      </c>
    </row>
    <row r="42" spans="1:29" s="1334" customFormat="1" ht="15">
      <c r="A42" s="599"/>
      <c r="B42" s="899" t="s">
        <v>776</v>
      </c>
      <c r="C42" s="535"/>
      <c r="D42" s="536">
        <v>100</v>
      </c>
      <c r="E42" s="535"/>
      <c r="F42" s="571">
        <f>SUMIF(121:121,E42,122:122)-SUMIF(121:121,C42,122:122)+100</f>
        <v>100</v>
      </c>
      <c r="G42" s="535"/>
      <c r="H42" s="536">
        <f>SUMIF(121:121,G42,122:122)-SUMIF(121:121,C42,122:122)+100</f>
        <v>100</v>
      </c>
      <c r="I42" s="535"/>
      <c r="J42" s="536">
        <f>SUMIF(121:121,I42,122:122)-SUMIF(121:121,C42,122:122)+100</f>
        <v>100</v>
      </c>
      <c r="K42" s="577"/>
      <c r="L42" s="2135"/>
      <c r="M42" s="2166"/>
      <c r="N42" s="2166"/>
      <c r="O42" s="2166"/>
      <c r="P42" s="3468"/>
      <c r="Q42" s="1600" t="str">
        <f t="shared" si="11"/>
        <v>单套建筑面积</v>
      </c>
      <c r="R42" s="1572" t="s">
        <v>8</v>
      </c>
      <c r="S42" s="1573">
        <f t="shared" si="12"/>
        <v>100</v>
      </c>
      <c r="T42" s="1572" t="s">
        <v>8</v>
      </c>
      <c r="U42" s="1573">
        <f t="shared" si="13"/>
        <v>100</v>
      </c>
      <c r="V42" s="1572" t="s">
        <v>8</v>
      </c>
      <c r="W42" s="1573">
        <f t="shared" si="14"/>
        <v>100</v>
      </c>
      <c r="X42" s="1574"/>
      <c r="Y42" s="3468"/>
      <c r="Z42" s="1575" t="str">
        <f t="shared" si="15"/>
        <v>单套建筑面积</v>
      </c>
      <c r="AA42" s="1571">
        <f t="shared" si="3"/>
        <v>1</v>
      </c>
      <c r="AB42" s="1571">
        <f t="shared" si="4"/>
        <v>1</v>
      </c>
      <c r="AC42" s="1571">
        <f t="shared" si="5"/>
        <v>1</v>
      </c>
    </row>
    <row r="43" spans="1:29" ht="15">
      <c r="A43" s="590"/>
      <c r="B43" s="525" t="s">
        <v>763</v>
      </c>
      <c r="C43" s="570"/>
      <c r="D43" s="536">
        <v>100</v>
      </c>
      <c r="E43" s="570"/>
      <c r="F43" s="571">
        <f>SUMIF(123:123,E43,124:124)-SUMIF(123:123,C43,124:124)+100</f>
        <v>100</v>
      </c>
      <c r="G43" s="570"/>
      <c r="H43" s="536">
        <f>SUMIF(123:123,G43,124:124)-SUMIF(123:123,C43,124:124)+100</f>
        <v>100</v>
      </c>
      <c r="I43" s="570"/>
      <c r="J43" s="536">
        <f>SUMIF(123:123,I43,124:124)-SUMIF(123:123,C43,124:124)+100</f>
        <v>100</v>
      </c>
      <c r="K43" s="580"/>
      <c r="L43" s="2137"/>
      <c r="M43" s="2129"/>
      <c r="N43" s="2129"/>
      <c r="O43" s="2129"/>
      <c r="P43" s="3468"/>
      <c r="Q43" s="1567" t="str">
        <f t="shared" si="11"/>
        <v>内部装修</v>
      </c>
      <c r="R43" s="1568" t="s">
        <v>8</v>
      </c>
      <c r="S43" s="1569">
        <f t="shared" si="12"/>
        <v>100</v>
      </c>
      <c r="T43" s="1568" t="s">
        <v>8</v>
      </c>
      <c r="U43" s="1569">
        <f t="shared" si="13"/>
        <v>100</v>
      </c>
      <c r="V43" s="1568" t="s">
        <v>8</v>
      </c>
      <c r="W43" s="1569">
        <f t="shared" si="14"/>
        <v>100</v>
      </c>
      <c r="X43" s="1562"/>
      <c r="Y43" s="3468"/>
      <c r="Z43" s="1570" t="str">
        <f t="shared" si="15"/>
        <v>内部装修</v>
      </c>
      <c r="AA43" s="1571">
        <f t="shared" si="3"/>
        <v>1</v>
      </c>
      <c r="AB43" s="1571">
        <f t="shared" si="4"/>
        <v>1</v>
      </c>
      <c r="AC43" s="1571">
        <f t="shared" si="5"/>
        <v>1</v>
      </c>
    </row>
    <row r="44" spans="1:29" ht="27">
      <c r="A44" s="590"/>
      <c r="B44" s="525" t="s">
        <v>728</v>
      </c>
      <c r="C44" s="570"/>
      <c r="D44" s="536">
        <v>100</v>
      </c>
      <c r="E44" s="595"/>
      <c r="F44" s="571">
        <f>SUMIF(125:125,E44,126:126)-SUMIF(125:125,C44,126:126)+100</f>
        <v>100</v>
      </c>
      <c r="G44" s="595"/>
      <c r="H44" s="536">
        <f>SUMIF(125:125,G44,126:126)-SUMIF(125:125,C44,126:126)+100</f>
        <v>100</v>
      </c>
      <c r="I44" s="595"/>
      <c r="J44" s="536">
        <f>SUMIF(125:125,I44,126:126)-SUMIF(125:125,C44,126:126)+100</f>
        <v>100</v>
      </c>
      <c r="K44" s="580"/>
      <c r="L44" s="2137"/>
      <c r="M44" s="2129"/>
      <c r="N44" s="2129"/>
      <c r="O44" s="2129"/>
      <c r="P44" s="3468"/>
      <c r="Q44" s="1567" t="str">
        <f t="shared" si="11"/>
        <v>内部装修维护情况</v>
      </c>
      <c r="R44" s="1568" t="s">
        <v>8</v>
      </c>
      <c r="S44" s="1569">
        <f t="shared" si="12"/>
        <v>100</v>
      </c>
      <c r="T44" s="1568" t="s">
        <v>8</v>
      </c>
      <c r="U44" s="1569">
        <f t="shared" si="13"/>
        <v>100</v>
      </c>
      <c r="V44" s="1568" t="s">
        <v>8</v>
      </c>
      <c r="W44" s="1569">
        <f t="shared" si="14"/>
        <v>100</v>
      </c>
      <c r="X44" s="1562"/>
      <c r="Y44" s="3468"/>
      <c r="Z44" s="1570" t="str">
        <f t="shared" si="15"/>
        <v>内部装修维护情况</v>
      </c>
      <c r="AA44" s="1571">
        <f t="shared" si="3"/>
        <v>1</v>
      </c>
      <c r="AB44" s="1571">
        <f t="shared" si="4"/>
        <v>1</v>
      </c>
      <c r="AC44" s="1571">
        <f t="shared" si="5"/>
        <v>1</v>
      </c>
    </row>
    <row r="45" spans="1:29" s="1215" customFormat="1" ht="15">
      <c r="A45" s="596"/>
      <c r="B45" s="873">
        <v>111</v>
      </c>
      <c r="C45" s="875"/>
      <c r="D45" s="250">
        <v>100</v>
      </c>
      <c r="E45" s="526"/>
      <c r="F45" s="859">
        <f>SUMIF(127:127,E45,128:128)-SUMIF(127:127,C45,128:128)+100</f>
        <v>100</v>
      </c>
      <c r="G45" s="526"/>
      <c r="H45" s="250">
        <f>SUMIF(127:127,G45,128:128)-SUMIF(127:127,C45,128:128)+100</f>
        <v>100</v>
      </c>
      <c r="I45" s="526"/>
      <c r="J45" s="250">
        <f>SUMIF(127:127,I45,128:128)-SUMIF(127:127,C45,128:128)+100</f>
        <v>100</v>
      </c>
      <c r="K45" s="577"/>
      <c r="L45" s="2130"/>
      <c r="M45" s="2131"/>
      <c r="N45" s="2131"/>
      <c r="O45" s="2131"/>
      <c r="P45" s="3468"/>
      <c r="Q45" s="1146">
        <f t="shared" si="11"/>
        <v>111</v>
      </c>
      <c r="R45" s="1563" t="s">
        <v>8</v>
      </c>
      <c r="S45" s="1564">
        <f t="shared" si="12"/>
        <v>100</v>
      </c>
      <c r="T45" s="1563" t="s">
        <v>8</v>
      </c>
      <c r="U45" s="1564">
        <f t="shared" si="13"/>
        <v>100</v>
      </c>
      <c r="V45" s="1563" t="s">
        <v>8</v>
      </c>
      <c r="W45" s="1564">
        <f t="shared" si="14"/>
        <v>100</v>
      </c>
      <c r="X45" s="1565"/>
      <c r="Y45" s="3468"/>
      <c r="Z45" s="1145">
        <f t="shared" si="15"/>
        <v>111</v>
      </c>
      <c r="AA45" s="1566">
        <f t="shared" si="3"/>
        <v>1</v>
      </c>
      <c r="AB45" s="1566">
        <f t="shared" si="4"/>
        <v>1</v>
      </c>
      <c r="AC45" s="1566">
        <f t="shared" si="5"/>
        <v>1</v>
      </c>
    </row>
    <row r="46" spans="1:29" ht="15">
      <c r="A46" s="590"/>
      <c r="B46" s="873">
        <v>111</v>
      </c>
      <c r="C46" s="535"/>
      <c r="D46" s="536">
        <v>100</v>
      </c>
      <c r="E46" s="526"/>
      <c r="F46" s="571">
        <f>SUMIF(129:129,E46,130:130)-SUMIF(129:129,C46,130:130)+100</f>
        <v>100</v>
      </c>
      <c r="G46" s="526"/>
      <c r="H46" s="536">
        <f>SUMIF(129:129,G46,130:130)-SUMIF(129:129,C46,130:130)+100</f>
        <v>100</v>
      </c>
      <c r="I46" s="526"/>
      <c r="J46" s="536">
        <f>SUMIF(129:129,I46,130:130)-SUMIF(129:129,C46,130:130)+100</f>
        <v>100</v>
      </c>
      <c r="K46" s="577"/>
      <c r="L46" s="2137"/>
      <c r="M46" s="2129"/>
      <c r="N46" s="2129"/>
      <c r="O46" s="2129"/>
      <c r="P46" s="3468"/>
      <c r="Q46" s="1567">
        <f t="shared" si="11"/>
        <v>111</v>
      </c>
      <c r="R46" s="1568" t="s">
        <v>8</v>
      </c>
      <c r="S46" s="1569">
        <f t="shared" si="12"/>
        <v>100</v>
      </c>
      <c r="T46" s="1568" t="s">
        <v>8</v>
      </c>
      <c r="U46" s="1569">
        <f t="shared" si="13"/>
        <v>100</v>
      </c>
      <c r="V46" s="1568" t="s">
        <v>8</v>
      </c>
      <c r="W46" s="1569">
        <f t="shared" si="14"/>
        <v>100</v>
      </c>
      <c r="X46" s="1562"/>
      <c r="Y46" s="3468"/>
      <c r="Z46" s="1570">
        <f t="shared" si="15"/>
        <v>111</v>
      </c>
      <c r="AA46" s="1571">
        <f t="shared" si="3"/>
        <v>1</v>
      </c>
      <c r="AB46" s="1571">
        <f t="shared" si="4"/>
        <v>1</v>
      </c>
      <c r="AC46" s="1571">
        <f t="shared" si="5"/>
        <v>1</v>
      </c>
    </row>
    <row r="47" spans="1:29" ht="15.75" thickBot="1">
      <c r="A47" s="881"/>
      <c r="B47" s="540">
        <v>111</v>
      </c>
      <c r="C47" s="541"/>
      <c r="D47" s="542">
        <v>100</v>
      </c>
      <c r="E47" s="526"/>
      <c r="F47" s="862">
        <f>SUMIF(131:131,E47,132:132)-SUMIF(131:131,C47,132:132)+100</f>
        <v>100</v>
      </c>
      <c r="G47" s="526"/>
      <c r="H47" s="542">
        <f>SUMIF(131:131,G47,132:132)-SUMIF(131:131,C47,132:132)+100</f>
        <v>100</v>
      </c>
      <c r="I47" s="526"/>
      <c r="J47" s="542">
        <f>SUMIF(131:131,I47,132:132)-SUMIF(131:131,C47,132:132)+100</f>
        <v>100</v>
      </c>
      <c r="K47" s="577"/>
      <c r="L47" s="2137"/>
      <c r="M47" s="2129"/>
      <c r="N47" s="2129"/>
      <c r="O47" s="2129"/>
      <c r="P47" s="3543"/>
      <c r="Q47" s="1567">
        <f t="shared" si="11"/>
        <v>111</v>
      </c>
      <c r="R47" s="1568" t="s">
        <v>8</v>
      </c>
      <c r="S47" s="1569">
        <f t="shared" si="12"/>
        <v>100</v>
      </c>
      <c r="T47" s="1568" t="s">
        <v>8</v>
      </c>
      <c r="U47" s="1569">
        <f t="shared" si="13"/>
        <v>100</v>
      </c>
      <c r="V47" s="1568" t="s">
        <v>8</v>
      </c>
      <c r="W47" s="1569">
        <f t="shared" si="14"/>
        <v>100</v>
      </c>
      <c r="X47" s="1562"/>
      <c r="Y47" s="3543"/>
      <c r="Z47" s="1570">
        <f t="shared" si="15"/>
        <v>111</v>
      </c>
      <c r="AA47" s="1571">
        <f t="shared" si="3"/>
        <v>1</v>
      </c>
      <c r="AB47" s="1571">
        <f t="shared" si="4"/>
        <v>1</v>
      </c>
      <c r="AC47" s="1571">
        <f t="shared" si="5"/>
        <v>1</v>
      </c>
    </row>
    <row r="48" spans="1:29" ht="15">
      <c r="A48" s="603" t="s">
        <v>729</v>
      </c>
      <c r="B48" s="882"/>
      <c r="C48" s="2646" t="s">
        <v>1</v>
      </c>
      <c r="D48" s="2647"/>
      <c r="E48" s="2648"/>
      <c r="F48" s="2649"/>
      <c r="G48" s="2650"/>
      <c r="H48" s="2651"/>
      <c r="I48" s="2648"/>
      <c r="J48" s="2651"/>
      <c r="K48" s="1606"/>
      <c r="L48" s="2139"/>
      <c r="M48" s="2129"/>
      <c r="N48" s="2129"/>
      <c r="O48" s="2129"/>
      <c r="P48" s="3485" t="str">
        <f>A48</f>
        <v>成交单价（元/平方米）</v>
      </c>
      <c r="Q48" s="3463"/>
      <c r="R48" s="3542">
        <f>E48</f>
        <v>0</v>
      </c>
      <c r="S48" s="3542"/>
      <c r="T48" s="3542">
        <f>G48</f>
        <v>0</v>
      </c>
      <c r="U48" s="3542"/>
      <c r="V48" s="3542">
        <f>I48</f>
        <v>0</v>
      </c>
      <c r="W48" s="3542"/>
      <c r="X48" s="1554"/>
      <c r="Y48" s="1576"/>
      <c r="Z48" s="1554"/>
      <c r="AA48" s="1554"/>
      <c r="AB48" s="1554"/>
      <c r="AC48" s="1554"/>
    </row>
    <row r="49" spans="1:29" ht="15.75" thickBot="1">
      <c r="A49" s="611" t="s">
        <v>2759</v>
      </c>
      <c r="B49" s="883"/>
      <c r="C49" s="2652" t="e">
        <f>R50</f>
        <v>#DIV/0!</v>
      </c>
      <c r="D49" s="2653"/>
      <c r="E49" s="2654" t="e">
        <f>R49</f>
        <v>#DIV/0!</v>
      </c>
      <c r="F49" s="2654"/>
      <c r="G49" s="2652" t="e">
        <f>T49</f>
        <v>#DIV/0!</v>
      </c>
      <c r="H49" s="2653"/>
      <c r="I49" s="2654" t="e">
        <f>V49</f>
        <v>#DIV/0!</v>
      </c>
      <c r="J49" s="2653"/>
      <c r="K49" s="1607"/>
      <c r="L49" s="2139"/>
      <c r="M49" s="2129"/>
      <c r="N49" s="2129"/>
      <c r="O49" s="2129"/>
      <c r="P49" s="3485" t="str">
        <f>A49</f>
        <v>比较价格（元/平方米）</v>
      </c>
      <c r="Q49" s="3463"/>
      <c r="R49" s="3542" t="e">
        <f>IF(F1="售价",ROUND(PRODUCT(R48,AA7:AA47),0),ROUND(PRODUCT(R48,AA7:AA47),1))</f>
        <v>#DIV/0!</v>
      </c>
      <c r="S49" s="3542"/>
      <c r="T49" s="3542" t="e">
        <f>IF(F1="售价",ROUND(PRODUCT(T48,AB7:AB47),0),ROUND(PRODUCT(T48,AB7:AB47),1))</f>
        <v>#DIV/0!</v>
      </c>
      <c r="U49" s="3542"/>
      <c r="V49" s="3542" t="e">
        <f>IF(F1="售价",ROUND(PRODUCT(V48,AC7:AC47),0),ROUND(PRODUCT(V48,AC7:AC47),1))</f>
        <v>#DIV/0!</v>
      </c>
      <c r="W49" s="3542"/>
      <c r="X49" s="1554"/>
      <c r="Y49" s="1554"/>
      <c r="Z49" s="1554"/>
      <c r="AA49" s="1554"/>
      <c r="AB49" s="1554"/>
      <c r="AC49" s="1554"/>
    </row>
    <row r="50" spans="1:29" ht="15.75" thickBot="1">
      <c r="A50" s="617" t="s">
        <v>2929</v>
      </c>
      <c r="B50" s="618"/>
      <c r="C50" s="2655" t="e">
        <f>R50</f>
        <v>#DIV/0!</v>
      </c>
      <c r="D50" s="2655"/>
      <c r="E50" s="2655"/>
      <c r="F50" s="2655"/>
      <c r="G50" s="2655"/>
      <c r="H50" s="2655"/>
      <c r="I50" s="2655"/>
      <c r="J50" s="2655"/>
      <c r="K50" s="1608"/>
      <c r="L50" s="2139"/>
      <c r="M50" s="2129"/>
      <c r="N50" s="2129"/>
      <c r="O50" s="2129"/>
      <c r="P50" s="3570" t="str">
        <f>A50</f>
        <v>估价对象XX用房的比较价格（楼面单价，元/平方米）</v>
      </c>
      <c r="Q50" s="3485"/>
      <c r="R50" s="3541" t="e">
        <f>IF(F1="售价",ROUND(AVERAGE(R49:V49),0),ROUND(AVERAGE(R49:V49),1))</f>
        <v>#DIV/0!</v>
      </c>
      <c r="S50" s="3541"/>
      <c r="T50" s="3541"/>
      <c r="U50" s="3541"/>
      <c r="V50" s="3541"/>
      <c r="W50" s="3541"/>
      <c r="X50" s="1554"/>
      <c r="Y50" s="1554"/>
      <c r="Z50" s="1554"/>
      <c r="AA50" s="1554"/>
      <c r="AB50" s="1554"/>
      <c r="AC50" s="1554"/>
    </row>
    <row r="51" spans="1:29">
      <c r="A51" s="2140"/>
      <c r="B51" s="2140"/>
      <c r="C51" s="2140"/>
      <c r="D51" s="2140"/>
      <c r="E51" s="2140"/>
      <c r="F51" s="2140"/>
      <c r="G51" s="2143"/>
      <c r="H51" s="2140"/>
      <c r="I51" s="2140"/>
      <c r="J51" s="2140"/>
      <c r="K51" s="2144"/>
      <c r="L51" s="2145"/>
      <c r="M51" s="2140"/>
      <c r="N51" s="2140"/>
      <c r="O51" s="2140"/>
      <c r="P51" s="2203"/>
      <c r="Q51" s="2140"/>
      <c r="R51" s="2140"/>
      <c r="S51" s="2140"/>
      <c r="T51" s="2140"/>
      <c r="U51" s="2140"/>
      <c r="V51" s="2140"/>
      <c r="W51" s="2140"/>
      <c r="X51" s="2140"/>
      <c r="Y51" s="2140"/>
      <c r="Z51" s="2140"/>
      <c r="AA51" s="2140"/>
      <c r="AB51" s="2140"/>
      <c r="AC51" s="2140"/>
    </row>
    <row r="52" spans="1:29">
      <c r="A52" s="2140"/>
      <c r="B52" s="2140"/>
      <c r="C52" s="2140"/>
      <c r="D52" s="2140"/>
      <c r="E52" s="2140"/>
      <c r="F52" s="2140"/>
      <c r="G52" s="2140"/>
      <c r="H52" s="2140"/>
      <c r="I52" s="2140"/>
      <c r="J52" s="2140"/>
      <c r="K52" s="2144"/>
      <c r="L52" s="2145"/>
      <c r="M52" s="2140"/>
      <c r="N52" s="2140"/>
      <c r="O52" s="2140"/>
      <c r="P52" s="2203"/>
      <c r="Q52" s="2140"/>
      <c r="R52" s="2140"/>
      <c r="S52" s="2140"/>
      <c r="T52" s="2140"/>
      <c r="U52" s="2140"/>
      <c r="V52" s="2140"/>
      <c r="W52" s="2140"/>
      <c r="X52" s="2140"/>
      <c r="Y52" s="2140"/>
      <c r="Z52" s="2140"/>
      <c r="AA52" s="2140"/>
      <c r="AB52" s="2140"/>
      <c r="AC52" s="2140"/>
    </row>
    <row r="53" spans="1:29" ht="13.5" customHeight="1">
      <c r="A53" s="2140"/>
      <c r="B53" s="2140"/>
      <c r="C53" s="620" t="s">
        <v>551</v>
      </c>
      <c r="D53" s="621"/>
      <c r="E53" s="622" t="e">
        <f>IF(E48&lt;E49,E49/E48-1,E48/E49-1)</f>
        <v>#DIV/0!</v>
      </c>
      <c r="F53" s="623" t="e">
        <f>IF(OR(E53&gt;=0.3,E53&lt;=-0.3),"超过30%","")</f>
        <v>#DIV/0!</v>
      </c>
      <c r="G53" s="622" t="e">
        <f>IF(G48&lt;G49,G49/G48-1,G48/G49-1)</f>
        <v>#DIV/0!</v>
      </c>
      <c r="H53" s="623" t="e">
        <f>IF(OR(G53&gt;=0.3,G53&lt;=-0.3),"超过30%","")</f>
        <v>#DIV/0!</v>
      </c>
      <c r="I53" s="622" t="e">
        <f>IF(I48&lt;I49,I49/I48-1,I48/I49-1)</f>
        <v>#DIV/0!</v>
      </c>
      <c r="J53" s="623" t="e">
        <f>IF(OR(I53&gt;=0.3,I53&lt;=-0.3),"超过30%","")</f>
        <v>#DIV/0!</v>
      </c>
      <c r="K53" s="2144"/>
      <c r="L53" s="2145"/>
      <c r="M53" s="2140"/>
      <c r="N53" s="2140"/>
      <c r="O53" s="2140"/>
      <c r="P53" s="2203"/>
      <c r="Q53" s="2140"/>
      <c r="R53" s="2140"/>
      <c r="S53" s="2140"/>
      <c r="T53" s="2140"/>
      <c r="U53" s="2140"/>
      <c r="V53" s="2140"/>
      <c r="W53" s="2140"/>
      <c r="X53" s="2140"/>
      <c r="Y53" s="2140"/>
      <c r="Z53" s="2140"/>
      <c r="AA53" s="2140"/>
      <c r="AB53" s="2140"/>
      <c r="AC53" s="2140"/>
    </row>
    <row r="54" spans="1:29" ht="13.5" customHeight="1">
      <c r="A54" s="2140"/>
      <c r="B54" s="2140"/>
      <c r="C54" s="620" t="s">
        <v>552</v>
      </c>
      <c r="D54" s="624"/>
      <c r="E54" s="622" t="e">
        <f>IF(E49&lt;G49,G49/E49-1,E49/G49-1)</f>
        <v>#DIV/0!</v>
      </c>
      <c r="F54" s="623" t="e">
        <f>IF(OR(E54&gt;=0.2,E54&lt;=-0.2),"超过20%","")</f>
        <v>#DIV/0!</v>
      </c>
      <c r="G54" s="622" t="e">
        <f>IF(G49&lt;I49,I49/G49-1,G49/I49-1)</f>
        <v>#DIV/0!</v>
      </c>
      <c r="H54" s="623" t="e">
        <f>IF(OR(G54&gt;=0.2,G54&lt;=-0.2),"超过20%","")</f>
        <v>#DIV/0!</v>
      </c>
      <c r="I54" s="622" t="e">
        <f>IF(I49&lt;E49,E49/I49-1,I49/E49-1)</f>
        <v>#DIV/0!</v>
      </c>
      <c r="J54" s="623" t="e">
        <f>IF(OR(I54&gt;=0.2,I54&lt;=-0.2),"超过20%","")</f>
        <v>#DIV/0!</v>
      </c>
      <c r="K54" s="2144"/>
      <c r="L54" s="2145"/>
      <c r="M54" s="2140"/>
      <c r="N54" s="2140"/>
      <c r="O54" s="2140"/>
      <c r="P54" s="2203"/>
      <c r="Q54" s="2140"/>
      <c r="R54" s="2140"/>
      <c r="S54" s="2140"/>
      <c r="T54" s="2140"/>
      <c r="U54" s="2140"/>
      <c r="V54" s="2140"/>
      <c r="W54" s="2140"/>
      <c r="X54" s="2140"/>
      <c r="Y54" s="2140"/>
      <c r="Z54" s="2140"/>
      <c r="AA54" s="2140"/>
      <c r="AB54" s="2140"/>
      <c r="AC54" s="2140"/>
    </row>
    <row r="55" spans="1:29" s="1340" customFormat="1" ht="13.5" customHeight="1">
      <c r="A55" s="2141"/>
      <c r="B55" s="2141"/>
      <c r="C55" s="620" t="s">
        <v>553</v>
      </c>
      <c r="D55" s="624"/>
      <c r="E55" s="622" t="e">
        <f>IF(E48&lt;G48,G48/E48-1,E48/G48-1)</f>
        <v>#DIV/0!</v>
      </c>
      <c r="F55" s="623" t="e">
        <f>IF(OR(E55&gt;=0.3,E55&lt;=-0.3),"超过30%","")</f>
        <v>#DIV/0!</v>
      </c>
      <c r="G55" s="622" t="e">
        <f>IF(G48&lt;I48,I48/G48-1,G48/I48-1)</f>
        <v>#DIV/0!</v>
      </c>
      <c r="H55" s="623" t="e">
        <f>IF(OR(G55&gt;=0.3,G55&lt;=-0.3),"超过30%","")</f>
        <v>#DIV/0!</v>
      </c>
      <c r="I55" s="622" t="e">
        <f>IF(I48&lt;E48,E48/I48-1,I48/E48-1)</f>
        <v>#DIV/0!</v>
      </c>
      <c r="J55" s="623" t="e">
        <f>IF(OR(I55&gt;=0.3,I55&lt;=-0.3),"超过30%","")</f>
        <v>#DIV/0!</v>
      </c>
      <c r="K55" s="2147"/>
      <c r="L55" s="2148"/>
      <c r="M55" s="2141"/>
      <c r="N55" s="2141"/>
      <c r="O55" s="2141"/>
      <c r="P55" s="2204"/>
      <c r="Q55" s="2141"/>
      <c r="R55" s="2141"/>
      <c r="S55" s="2141"/>
      <c r="T55" s="2141"/>
      <c r="U55" s="2141"/>
      <c r="V55" s="2141"/>
      <c r="W55" s="2141"/>
      <c r="X55" s="2141"/>
      <c r="Y55" s="2141"/>
      <c r="Z55" s="2141"/>
      <c r="AA55" s="2141"/>
      <c r="AB55" s="2141"/>
      <c r="AC55" s="2141"/>
    </row>
    <row r="56" spans="1:29" s="1340" customFormat="1">
      <c r="A56" s="2141"/>
      <c r="B56" s="2142"/>
      <c r="C56" s="2146"/>
      <c r="D56" s="2141"/>
      <c r="E56" s="2141"/>
      <c r="F56" s="2141"/>
      <c r="G56" s="2141"/>
      <c r="H56" s="2141"/>
      <c r="I56" s="2141"/>
      <c r="J56" s="2141"/>
      <c r="K56" s="2147"/>
      <c r="L56" s="2148"/>
      <c r="M56" s="2141"/>
      <c r="N56" s="2141"/>
      <c r="O56" s="2141"/>
      <c r="P56" s="2204"/>
      <c r="Q56" s="2141"/>
      <c r="R56" s="2141"/>
      <c r="S56" s="2141"/>
      <c r="T56" s="2141"/>
      <c r="U56" s="2141"/>
      <c r="V56" s="2141"/>
      <c r="W56" s="2141"/>
      <c r="X56" s="2141"/>
      <c r="Y56" s="2141"/>
      <c r="Z56" s="2141"/>
      <c r="AA56" s="2141"/>
      <c r="AB56" s="2141"/>
      <c r="AC56" s="2141"/>
    </row>
    <row r="57" spans="1:29">
      <c r="A57" s="2140"/>
      <c r="B57" s="2142"/>
      <c r="C57" s="2146"/>
      <c r="D57" s="2140"/>
      <c r="E57" s="2140"/>
      <c r="F57" s="2140"/>
      <c r="G57" s="2140"/>
      <c r="H57" s="2140"/>
      <c r="I57" s="2140"/>
      <c r="J57" s="2140"/>
      <c r="K57" s="2144"/>
      <c r="L57" s="2145"/>
      <c r="M57" s="2140"/>
      <c r="N57" s="2140"/>
      <c r="O57" s="2140"/>
      <c r="P57" s="2203"/>
      <c r="Q57" s="2140"/>
      <c r="R57" s="2140"/>
      <c r="S57" s="2140"/>
      <c r="T57" s="2140"/>
      <c r="U57" s="2140"/>
      <c r="V57" s="2140"/>
      <c r="W57" s="2140"/>
      <c r="X57" s="2140"/>
      <c r="Y57" s="2140"/>
      <c r="Z57" s="2140"/>
      <c r="AA57" s="2140"/>
      <c r="AB57" s="2140"/>
      <c r="AC57" s="2140"/>
    </row>
    <row r="58" spans="1:29" ht="21.75" thickBot="1">
      <c r="A58" s="1579" t="s">
        <v>568</v>
      </c>
      <c r="B58" s="1554"/>
      <c r="C58" s="1578"/>
      <c r="D58" s="1578"/>
      <c r="E58" s="1578"/>
      <c r="F58" s="1580"/>
      <c r="G58" s="1580"/>
      <c r="H58" s="1578"/>
      <c r="I58" s="1578"/>
      <c r="J58" s="1578"/>
      <c r="K58" s="1581"/>
      <c r="L58" s="1577"/>
      <c r="M58" s="1578"/>
      <c r="N58" s="1578"/>
      <c r="O58" s="1578"/>
      <c r="P58" s="2205"/>
      <c r="Q58" s="2153"/>
      <c r="R58" s="2140"/>
      <c r="S58" s="2140"/>
      <c r="T58" s="2140"/>
      <c r="U58" s="2140"/>
      <c r="V58" s="2140"/>
      <c r="W58" s="2140"/>
      <c r="X58" s="2140"/>
      <c r="Y58" s="2140"/>
      <c r="Z58" s="2140"/>
      <c r="AA58" s="2140"/>
      <c r="AB58" s="2140"/>
      <c r="AC58" s="2140"/>
    </row>
    <row r="59" spans="1:29" s="1342" customFormat="1" ht="15">
      <c r="A59" s="641" t="s">
        <v>523</v>
      </c>
      <c r="B59" s="642"/>
      <c r="C59" s="2823" t="str">
        <f>YEAR(C7)&amp;"-"&amp;MONTH(C7)</f>
        <v>2017-10</v>
      </c>
      <c r="D59" s="2825">
        <f>EDATE(C59,-1)</f>
        <v>42979</v>
      </c>
      <c r="E59" s="2825">
        <f t="shared" ref="E59:O59" si="16">EDATE(D59,-1)</f>
        <v>42948</v>
      </c>
      <c r="F59" s="2825">
        <f t="shared" si="16"/>
        <v>42917</v>
      </c>
      <c r="G59" s="2825">
        <f t="shared" si="16"/>
        <v>42887</v>
      </c>
      <c r="H59" s="2825">
        <f t="shared" si="16"/>
        <v>42856</v>
      </c>
      <c r="I59" s="2825">
        <f t="shared" si="16"/>
        <v>42826</v>
      </c>
      <c r="J59" s="2825">
        <f t="shared" si="16"/>
        <v>42795</v>
      </c>
      <c r="K59" s="2825">
        <f t="shared" si="16"/>
        <v>42767</v>
      </c>
      <c r="L59" s="2825">
        <f t="shared" si="16"/>
        <v>42736</v>
      </c>
      <c r="M59" s="2825">
        <f t="shared" si="16"/>
        <v>42705</v>
      </c>
      <c r="N59" s="2825">
        <f t="shared" si="16"/>
        <v>42675</v>
      </c>
      <c r="O59" s="2825">
        <f t="shared" si="16"/>
        <v>42644</v>
      </c>
      <c r="P59" s="2206"/>
      <c r="Q59" s="2156"/>
      <c r="R59" s="2156"/>
      <c r="S59" s="2156"/>
      <c r="T59" s="2156"/>
      <c r="U59" s="2156"/>
      <c r="V59" s="2156"/>
      <c r="W59" s="2156"/>
      <c r="X59" s="2156"/>
      <c r="Y59" s="2156"/>
      <c r="Z59" s="2156"/>
      <c r="AA59" s="2156"/>
      <c r="AB59" s="2156"/>
      <c r="AC59" s="2156"/>
    </row>
    <row r="60" spans="1:29" s="1215" customFormat="1" ht="15">
      <c r="A60" s="643"/>
      <c r="B60" s="644"/>
      <c r="C60" s="645">
        <v>100</v>
      </c>
      <c r="D60" s="646"/>
      <c r="E60" s="646"/>
      <c r="F60" s="646"/>
      <c r="G60" s="646"/>
      <c r="H60" s="646"/>
      <c r="I60" s="646"/>
      <c r="J60" s="646"/>
      <c r="K60" s="646"/>
      <c r="L60" s="646"/>
      <c r="M60" s="647"/>
      <c r="N60" s="646"/>
      <c r="O60" s="647"/>
      <c r="P60" s="2207"/>
      <c r="Q60" s="1988"/>
      <c r="R60" s="1988"/>
      <c r="S60" s="1988"/>
      <c r="T60" s="1988"/>
      <c r="U60" s="1988"/>
      <c r="V60" s="1988"/>
      <c r="W60" s="1988"/>
      <c r="X60" s="1988"/>
      <c r="Y60" s="1988"/>
      <c r="Z60" s="1988"/>
      <c r="AA60" s="1988"/>
      <c r="AB60" s="1988"/>
      <c r="AC60" s="1988"/>
    </row>
    <row r="61" spans="1:29" s="1215" customFormat="1" ht="15.75" thickBot="1">
      <c r="A61" s="649" t="s">
        <v>569</v>
      </c>
      <c r="B61" s="650"/>
      <c r="C61" s="651"/>
      <c r="D61" s="652"/>
      <c r="E61" s="652"/>
      <c r="F61" s="652"/>
      <c r="G61" s="652"/>
      <c r="H61" s="652"/>
      <c r="I61" s="652"/>
      <c r="J61" s="652"/>
      <c r="K61" s="652"/>
      <c r="L61" s="652"/>
      <c r="M61" s="653"/>
      <c r="N61" s="652"/>
      <c r="O61" s="653"/>
      <c r="P61" s="2207"/>
      <c r="Q61" s="2153"/>
      <c r="R61" s="1988"/>
      <c r="S61" s="1988"/>
      <c r="T61" s="1988"/>
      <c r="U61" s="1988"/>
      <c r="V61" s="1988"/>
      <c r="W61" s="1988"/>
      <c r="X61" s="1988"/>
      <c r="Y61" s="1988"/>
      <c r="Z61" s="1988"/>
      <c r="AA61" s="1988"/>
      <c r="AB61" s="1988"/>
      <c r="AC61" s="1988"/>
    </row>
    <row r="62" spans="1:29" s="1215" customFormat="1" ht="15">
      <c r="A62" s="655" t="s">
        <v>525</v>
      </c>
      <c r="B62" s="644"/>
      <c r="C62" s="656" t="s">
        <v>570</v>
      </c>
      <c r="D62" s="657"/>
      <c r="E62" s="657"/>
      <c r="F62" s="657"/>
      <c r="G62" s="657"/>
      <c r="H62" s="657"/>
      <c r="I62" s="657"/>
      <c r="J62" s="657"/>
      <c r="K62" s="657"/>
      <c r="L62" s="658"/>
      <c r="M62" s="659"/>
      <c r="N62" s="2157"/>
      <c r="O62" s="2157"/>
      <c r="P62" s="2208"/>
      <c r="Q62" s="2153"/>
      <c r="R62" s="1988"/>
      <c r="S62" s="1988"/>
      <c r="T62" s="1988"/>
      <c r="U62" s="1988"/>
      <c r="V62" s="1988"/>
      <c r="W62" s="1988"/>
      <c r="X62" s="1988"/>
      <c r="Y62" s="1988"/>
      <c r="Z62" s="1988"/>
      <c r="AA62" s="1988"/>
      <c r="AB62" s="1988"/>
      <c r="AC62" s="1988"/>
    </row>
    <row r="63" spans="1:29" s="1215" customFormat="1" ht="15.75" thickBot="1">
      <c r="A63" s="655"/>
      <c r="B63" s="644"/>
      <c r="C63" s="884">
        <v>100</v>
      </c>
      <c r="D63" s="646"/>
      <c r="E63" s="646"/>
      <c r="F63" s="646"/>
      <c r="G63" s="646"/>
      <c r="H63" s="646"/>
      <c r="I63" s="646"/>
      <c r="J63" s="646"/>
      <c r="K63" s="646"/>
      <c r="L63" s="646"/>
      <c r="M63" s="648"/>
      <c r="N63" s="2157"/>
      <c r="O63" s="2157"/>
      <c r="P63" s="2207"/>
      <c r="Q63" s="2153"/>
      <c r="R63" s="1988"/>
      <c r="S63" s="1988"/>
      <c r="T63" s="1988"/>
      <c r="U63" s="1988"/>
      <c r="V63" s="1988"/>
      <c r="W63" s="1988"/>
      <c r="X63" s="1988"/>
      <c r="Y63" s="1988"/>
      <c r="Z63" s="1988"/>
      <c r="AA63" s="1988"/>
      <c r="AB63" s="1988"/>
      <c r="AC63" s="1988"/>
    </row>
    <row r="64" spans="1:29">
      <c r="A64" s="660" t="s">
        <v>571</v>
      </c>
      <c r="B64" s="661" t="s">
        <v>528</v>
      </c>
      <c r="C64" s="700">
        <f>C9</f>
        <v>0</v>
      </c>
      <c r="D64" s="594"/>
      <c r="E64" s="594"/>
      <c r="F64" s="594"/>
      <c r="G64" s="594"/>
      <c r="H64" s="594"/>
      <c r="I64" s="594"/>
      <c r="J64" s="594"/>
      <c r="K64" s="662"/>
      <c r="L64" s="663"/>
      <c r="M64" s="664"/>
      <c r="N64" s="2159"/>
      <c r="O64" s="2159"/>
      <c r="P64" s="2209"/>
      <c r="Q64" s="2153"/>
      <c r="R64" s="2140"/>
      <c r="S64" s="2140"/>
      <c r="T64" s="2140"/>
      <c r="U64" s="2140"/>
      <c r="V64" s="2140"/>
      <c r="W64" s="2140"/>
      <c r="X64" s="2140"/>
      <c r="Y64" s="2140"/>
      <c r="Z64" s="2140"/>
      <c r="AA64" s="2140"/>
      <c r="AB64" s="2140"/>
      <c r="AC64" s="2140"/>
    </row>
    <row r="65" spans="1:29" ht="15.75" thickBot="1">
      <c r="A65" s="665"/>
      <c r="B65" s="666"/>
      <c r="C65" s="667"/>
      <c r="D65" s="667"/>
      <c r="E65" s="667"/>
      <c r="F65" s="667"/>
      <c r="G65" s="667"/>
      <c r="H65" s="667"/>
      <c r="I65" s="667"/>
      <c r="J65" s="667"/>
      <c r="K65" s="667"/>
      <c r="L65" s="667"/>
      <c r="M65" s="668"/>
      <c r="N65" s="2161"/>
      <c r="O65" s="2161"/>
      <c r="P65" s="2209"/>
      <c r="Q65" s="2153"/>
      <c r="R65" s="2140"/>
      <c r="S65" s="2140"/>
      <c r="T65" s="2140"/>
      <c r="U65" s="2140"/>
      <c r="V65" s="2140"/>
      <c r="W65" s="2140"/>
      <c r="X65" s="2140"/>
      <c r="Y65" s="2140"/>
      <c r="Z65" s="2140"/>
      <c r="AA65" s="2140"/>
      <c r="AB65" s="2140"/>
      <c r="AC65" s="2140"/>
    </row>
    <row r="66" spans="1:29" ht="27.75" thickTop="1">
      <c r="A66" s="665"/>
      <c r="B66" s="669" t="s">
        <v>531</v>
      </c>
      <c r="C66" s="670" t="s">
        <v>730</v>
      </c>
      <c r="D66" s="670" t="s">
        <v>731</v>
      </c>
      <c r="E66" s="670" t="s">
        <v>732</v>
      </c>
      <c r="F66" s="670" t="s">
        <v>733</v>
      </c>
      <c r="G66" s="670" t="s">
        <v>734</v>
      </c>
      <c r="H66" s="670" t="s">
        <v>735</v>
      </c>
      <c r="I66" s="670" t="s">
        <v>736</v>
      </c>
      <c r="J66" s="670"/>
      <c r="K66" s="671"/>
      <c r="L66" s="672"/>
      <c r="M66" s="673"/>
      <c r="N66" s="2159"/>
      <c r="O66" s="2159"/>
      <c r="P66" s="2209"/>
      <c r="Q66" s="2153"/>
      <c r="R66" s="2140"/>
      <c r="S66" s="2140"/>
      <c r="T66" s="2140"/>
      <c r="U66" s="2140"/>
      <c r="V66" s="2140"/>
      <c r="W66" s="2140"/>
      <c r="X66" s="2140"/>
      <c r="Y66" s="2140"/>
      <c r="Z66" s="2140"/>
      <c r="AA66" s="2140"/>
      <c r="AB66" s="2140"/>
      <c r="AC66" s="2140"/>
    </row>
    <row r="67" spans="1:29" ht="15.75" thickBot="1">
      <c r="A67" s="665"/>
      <c r="B67" s="674"/>
      <c r="C67" s="675" t="s">
        <v>14</v>
      </c>
      <c r="D67" s="675" t="s">
        <v>15</v>
      </c>
      <c r="E67" s="675">
        <v>100</v>
      </c>
      <c r="F67" s="675">
        <f>E67-$K10</f>
        <v>100</v>
      </c>
      <c r="G67" s="675">
        <f>F67-$K10</f>
        <v>100</v>
      </c>
      <c r="H67" s="675">
        <f>G67-$K10</f>
        <v>100</v>
      </c>
      <c r="I67" s="675">
        <f>H67-$K10</f>
        <v>100</v>
      </c>
      <c r="J67" s="675"/>
      <c r="K67" s="675"/>
      <c r="L67" s="675"/>
      <c r="M67" s="676"/>
      <c r="N67" s="2161"/>
      <c r="O67" s="2161"/>
      <c r="P67" s="2209"/>
      <c r="Q67" s="2153"/>
      <c r="R67" s="2140"/>
      <c r="S67" s="2140"/>
      <c r="T67" s="2140"/>
      <c r="U67" s="2140"/>
      <c r="V67" s="2140"/>
      <c r="W67" s="2140"/>
      <c r="X67" s="2140"/>
      <c r="Y67" s="2140"/>
      <c r="Z67" s="2140"/>
      <c r="AA67" s="2140"/>
      <c r="AB67" s="2140"/>
      <c r="AC67" s="2140"/>
    </row>
    <row r="68" spans="1:29" ht="15.75" thickTop="1">
      <c r="A68" s="665"/>
      <c r="B68" s="677" t="s">
        <v>532</v>
      </c>
      <c r="C68" s="678" t="str">
        <f>C69&amp;"（含）"&amp;"-"&amp;D69</f>
        <v>（含）-</v>
      </c>
      <c r="D68" s="678" t="str">
        <f t="shared" ref="D68:L68" si="17">D69&amp;"（含）"&amp;"-"&amp;E69</f>
        <v>（含）-</v>
      </c>
      <c r="E68" s="678" t="str">
        <f t="shared" si="17"/>
        <v>（含）-</v>
      </c>
      <c r="F68" s="678" t="str">
        <f t="shared" si="17"/>
        <v>（含）-</v>
      </c>
      <c r="G68" s="678" t="str">
        <f t="shared" si="17"/>
        <v>（含）-</v>
      </c>
      <c r="H68" s="678" t="str">
        <f t="shared" si="17"/>
        <v>（含）-</v>
      </c>
      <c r="I68" s="678" t="str">
        <f t="shared" si="17"/>
        <v>（含）-</v>
      </c>
      <c r="J68" s="678" t="str">
        <f t="shared" si="17"/>
        <v>（含）-</v>
      </c>
      <c r="K68" s="678" t="str">
        <f t="shared" si="17"/>
        <v>（含）-</v>
      </c>
      <c r="L68" s="678" t="str">
        <f t="shared" si="17"/>
        <v>（含）-</v>
      </c>
      <c r="M68" s="551" t="str">
        <f>M69&amp;"（含）"&amp;"-"&amp;P69</f>
        <v>（含）-</v>
      </c>
      <c r="N68" s="2161"/>
      <c r="O68" s="2161"/>
      <c r="P68" s="2209"/>
      <c r="Q68" s="2153"/>
      <c r="R68" s="2140"/>
      <c r="S68" s="2140"/>
      <c r="T68" s="2140"/>
      <c r="U68" s="2140"/>
      <c r="V68" s="2140"/>
      <c r="W68" s="2140"/>
      <c r="X68" s="2140"/>
      <c r="Y68" s="2140"/>
      <c r="Z68" s="2140"/>
      <c r="AA68" s="2140"/>
      <c r="AB68" s="2140"/>
      <c r="AC68" s="2140"/>
    </row>
    <row r="69" spans="1:29" ht="15">
      <c r="A69" s="665"/>
      <c r="B69" s="679"/>
      <c r="C69" s="537"/>
      <c r="D69" s="537"/>
      <c r="E69" s="537"/>
      <c r="F69" s="537"/>
      <c r="G69" s="537"/>
      <c r="H69" s="537"/>
      <c r="I69" s="537"/>
      <c r="J69" s="537"/>
      <c r="K69" s="680"/>
      <c r="L69" s="681"/>
      <c r="M69" s="682"/>
      <c r="N69" s="2159"/>
      <c r="O69" s="2159"/>
      <c r="P69" s="2209"/>
      <c r="Q69" s="2153"/>
      <c r="R69" s="2140"/>
      <c r="S69" s="2140"/>
      <c r="T69" s="2140"/>
      <c r="U69" s="2140"/>
      <c r="V69" s="2140"/>
      <c r="W69" s="2140"/>
      <c r="X69" s="2140"/>
      <c r="Y69" s="2140"/>
      <c r="Z69" s="2140"/>
      <c r="AA69" s="2140"/>
      <c r="AB69" s="2140"/>
      <c r="AC69" s="2140"/>
    </row>
    <row r="70" spans="1:29" ht="15.75" thickBot="1">
      <c r="A70" s="665"/>
      <c r="B70" s="666"/>
      <c r="C70" s="675">
        <v>100</v>
      </c>
      <c r="D70" s="675">
        <f t="shared" ref="D70:M70" si="18">C70-$K11</f>
        <v>100</v>
      </c>
      <c r="E70" s="675">
        <f t="shared" si="18"/>
        <v>100</v>
      </c>
      <c r="F70" s="675">
        <f t="shared" si="18"/>
        <v>100</v>
      </c>
      <c r="G70" s="675">
        <f t="shared" si="18"/>
        <v>100</v>
      </c>
      <c r="H70" s="675">
        <f t="shared" si="18"/>
        <v>100</v>
      </c>
      <c r="I70" s="675">
        <f t="shared" si="18"/>
        <v>100</v>
      </c>
      <c r="J70" s="675">
        <f t="shared" si="18"/>
        <v>100</v>
      </c>
      <c r="K70" s="675">
        <f t="shared" si="18"/>
        <v>100</v>
      </c>
      <c r="L70" s="675">
        <f t="shared" si="18"/>
        <v>100</v>
      </c>
      <c r="M70" s="676">
        <f t="shared" si="18"/>
        <v>100</v>
      </c>
      <c r="N70" s="2161"/>
      <c r="O70" s="2161"/>
      <c r="P70" s="2209"/>
      <c r="Q70" s="2153"/>
      <c r="R70" s="2140"/>
      <c r="S70" s="2140"/>
      <c r="T70" s="2140"/>
      <c r="U70" s="2140"/>
      <c r="V70" s="2140"/>
      <c r="W70" s="2140"/>
      <c r="X70" s="2140"/>
      <c r="Y70" s="2140"/>
      <c r="Z70" s="2140"/>
      <c r="AA70" s="2140"/>
      <c r="AB70" s="2140"/>
      <c r="AC70" s="2140"/>
    </row>
    <row r="71" spans="1:29" s="1334" customFormat="1" ht="15.75" thickTop="1">
      <c r="A71" s="683"/>
      <c r="B71" s="669">
        <f>B12</f>
        <v>111</v>
      </c>
      <c r="C71" s="684"/>
      <c r="D71" s="684"/>
      <c r="E71" s="684"/>
      <c r="F71" s="684"/>
      <c r="G71" s="684"/>
      <c r="H71" s="685"/>
      <c r="I71" s="685"/>
      <c r="J71" s="685"/>
      <c r="K71" s="685"/>
      <c r="L71" s="686"/>
      <c r="M71" s="687"/>
      <c r="N71" s="2162"/>
      <c r="O71" s="2162"/>
      <c r="P71" s="2210"/>
      <c r="Q71" s="2164"/>
      <c r="R71" s="2165"/>
      <c r="S71" s="2165"/>
      <c r="T71" s="2165"/>
      <c r="U71" s="2165"/>
      <c r="V71" s="2165"/>
      <c r="W71" s="2165"/>
      <c r="X71" s="2165"/>
      <c r="Y71" s="2165"/>
      <c r="Z71" s="2165"/>
      <c r="AA71" s="2165"/>
      <c r="AB71" s="2165"/>
      <c r="AC71" s="2165"/>
    </row>
    <row r="72" spans="1:29" s="1334" customFormat="1" ht="15.75" thickBot="1">
      <c r="A72" s="683"/>
      <c r="B72" s="674"/>
      <c r="C72" s="688"/>
      <c r="D72" s="667"/>
      <c r="E72" s="667"/>
      <c r="F72" s="667"/>
      <c r="G72" s="667"/>
      <c r="H72" s="667"/>
      <c r="I72" s="667"/>
      <c r="J72" s="667"/>
      <c r="K72" s="667"/>
      <c r="L72" s="667"/>
      <c r="M72" s="668"/>
      <c r="N72" s="2161"/>
      <c r="O72" s="2161"/>
      <c r="P72" s="2210"/>
      <c r="Q72" s="2164"/>
      <c r="R72" s="2165"/>
      <c r="S72" s="2165"/>
      <c r="T72" s="2165"/>
      <c r="U72" s="2165"/>
      <c r="V72" s="2165"/>
      <c r="W72" s="2165"/>
      <c r="X72" s="2165"/>
      <c r="Y72" s="2165"/>
      <c r="Z72" s="2165"/>
      <c r="AA72" s="2165"/>
      <c r="AB72" s="2165"/>
      <c r="AC72" s="2165"/>
    </row>
    <row r="73" spans="1:29" s="1334" customFormat="1" ht="15.75" thickTop="1">
      <c r="A73" s="683"/>
      <c r="B73" s="669">
        <f>B13</f>
        <v>111</v>
      </c>
      <c r="C73" s="684"/>
      <c r="D73" s="684"/>
      <c r="E73" s="684"/>
      <c r="F73" s="684"/>
      <c r="G73" s="684"/>
      <c r="H73" s="685"/>
      <c r="I73" s="685"/>
      <c r="J73" s="685"/>
      <c r="K73" s="685"/>
      <c r="L73" s="686"/>
      <c r="M73" s="687"/>
      <c r="N73" s="2162"/>
      <c r="O73" s="2162"/>
      <c r="P73" s="2211"/>
      <c r="Q73" s="2167"/>
      <c r="R73" s="2165"/>
      <c r="S73" s="2165"/>
      <c r="T73" s="2165"/>
      <c r="U73" s="2165"/>
      <c r="V73" s="2165"/>
      <c r="W73" s="2165"/>
      <c r="X73" s="2165"/>
      <c r="Y73" s="2165"/>
      <c r="Z73" s="2165"/>
      <c r="AA73" s="2165"/>
      <c r="AB73" s="2165"/>
      <c r="AC73" s="2165"/>
    </row>
    <row r="74" spans="1:29" s="1334" customFormat="1" ht="15.75" thickBot="1">
      <c r="A74" s="683"/>
      <c r="B74" s="674"/>
      <c r="C74" s="688"/>
      <c r="D74" s="688"/>
      <c r="E74" s="688"/>
      <c r="F74" s="688"/>
      <c r="G74" s="688"/>
      <c r="H74" s="689"/>
      <c r="I74" s="689"/>
      <c r="J74" s="689"/>
      <c r="K74" s="689"/>
      <c r="L74" s="689"/>
      <c r="M74" s="690"/>
      <c r="N74" s="2162"/>
      <c r="O74" s="2162"/>
      <c r="P74" s="2210"/>
      <c r="Q74" s="2164"/>
      <c r="R74" s="2165"/>
      <c r="S74" s="2165"/>
      <c r="T74" s="2165"/>
      <c r="U74" s="2165"/>
      <c r="V74" s="2165"/>
      <c r="W74" s="2165"/>
      <c r="X74" s="2165"/>
      <c r="Y74" s="2165"/>
      <c r="Z74" s="2165"/>
      <c r="AA74" s="2165"/>
      <c r="AB74" s="2165"/>
      <c r="AC74" s="2165"/>
    </row>
    <row r="75" spans="1:29" s="1334" customFormat="1" ht="15.75" thickTop="1">
      <c r="A75" s="683"/>
      <c r="B75" s="677">
        <f>B14</f>
        <v>111</v>
      </c>
      <c r="C75" s="657"/>
      <c r="D75" s="657"/>
      <c r="E75" s="657"/>
      <c r="F75" s="657"/>
      <c r="G75" s="657"/>
      <c r="H75" s="691"/>
      <c r="I75" s="691"/>
      <c r="J75" s="691"/>
      <c r="K75" s="691"/>
      <c r="L75" s="692"/>
      <c r="M75" s="693"/>
      <c r="N75" s="2162"/>
      <c r="O75" s="2162"/>
      <c r="P75" s="2212"/>
      <c r="Q75" s="2164"/>
      <c r="R75" s="2165"/>
      <c r="S75" s="2165"/>
      <c r="T75" s="2165"/>
      <c r="U75" s="2165"/>
      <c r="V75" s="2165"/>
      <c r="W75" s="2165"/>
      <c r="X75" s="2165"/>
      <c r="Y75" s="2165"/>
      <c r="Z75" s="2165"/>
      <c r="AA75" s="2165"/>
      <c r="AB75" s="2165"/>
      <c r="AC75" s="2165"/>
    </row>
    <row r="76" spans="1:29" s="1334" customFormat="1" ht="15.75" thickBot="1">
      <c r="A76" s="694"/>
      <c r="B76" s="695"/>
      <c r="C76" s="696"/>
      <c r="D76" s="696"/>
      <c r="E76" s="696"/>
      <c r="F76" s="696"/>
      <c r="G76" s="696"/>
      <c r="H76" s="697"/>
      <c r="I76" s="697"/>
      <c r="J76" s="697"/>
      <c r="K76" s="697"/>
      <c r="L76" s="697"/>
      <c r="M76" s="698"/>
      <c r="N76" s="2162"/>
      <c r="O76" s="2162"/>
      <c r="P76" s="2210"/>
      <c r="Q76" s="2164"/>
      <c r="R76" s="2165"/>
      <c r="S76" s="2165"/>
      <c r="T76" s="2165"/>
      <c r="U76" s="2165"/>
      <c r="V76" s="2165"/>
      <c r="W76" s="2165"/>
      <c r="X76" s="2165"/>
      <c r="Y76" s="2165"/>
      <c r="Z76" s="2165"/>
      <c r="AA76" s="2165"/>
      <c r="AB76" s="2165"/>
      <c r="AC76" s="2165"/>
    </row>
    <row r="77" spans="1:29">
      <c r="A77" s="660" t="s">
        <v>533</v>
      </c>
      <c r="B77" s="661" t="s">
        <v>579</v>
      </c>
      <c r="C77" s="699" t="s">
        <v>573</v>
      </c>
      <c r="D77" s="699" t="s">
        <v>574</v>
      </c>
      <c r="E77" s="699" t="s">
        <v>575</v>
      </c>
      <c r="F77" s="699" t="s">
        <v>576</v>
      </c>
      <c r="G77" s="699" t="s">
        <v>577</v>
      </c>
      <c r="H77" s="700"/>
      <c r="I77" s="700"/>
      <c r="J77" s="700"/>
      <c r="K77" s="701"/>
      <c r="L77" s="702"/>
      <c r="M77" s="703"/>
      <c r="N77" s="2159"/>
      <c r="O77" s="2159"/>
      <c r="P77" s="2213"/>
      <c r="Q77" s="2153"/>
      <c r="R77" s="2140"/>
      <c r="S77" s="2140"/>
      <c r="T77" s="2140"/>
      <c r="U77" s="2140"/>
      <c r="V77" s="2140"/>
      <c r="W77" s="2140"/>
      <c r="X77" s="2140"/>
      <c r="Y77" s="2140"/>
      <c r="Z77" s="2140"/>
      <c r="AA77" s="2140"/>
      <c r="AB77" s="2140"/>
      <c r="AC77" s="2140"/>
    </row>
    <row r="78" spans="1:29" ht="15.75" thickBot="1">
      <c r="A78" s="665"/>
      <c r="B78" s="674"/>
      <c r="C78" s="675">
        <v>100</v>
      </c>
      <c r="D78" s="675">
        <f>C78-$K15</f>
        <v>100</v>
      </c>
      <c r="E78" s="675">
        <f>D78-$K15</f>
        <v>100</v>
      </c>
      <c r="F78" s="675">
        <f>E78-$K15</f>
        <v>100</v>
      </c>
      <c r="G78" s="675">
        <f>F78-$K15</f>
        <v>100</v>
      </c>
      <c r="H78" s="675"/>
      <c r="I78" s="675"/>
      <c r="J78" s="675"/>
      <c r="K78" s="675"/>
      <c r="L78" s="675"/>
      <c r="M78" s="676"/>
      <c r="N78" s="2161"/>
      <c r="O78" s="2161"/>
      <c r="P78" s="2209"/>
      <c r="Q78" s="2153"/>
      <c r="R78" s="2140"/>
      <c r="S78" s="2140"/>
      <c r="T78" s="2140"/>
      <c r="U78" s="2140"/>
      <c r="V78" s="2140"/>
      <c r="W78" s="2140"/>
      <c r="X78" s="2140"/>
      <c r="Y78" s="2140"/>
      <c r="Z78" s="2140"/>
      <c r="AA78" s="2140"/>
      <c r="AB78" s="2140"/>
      <c r="AC78" s="2140"/>
    </row>
    <row r="79" spans="1:29" ht="15.75" thickTop="1">
      <c r="A79" s="665"/>
      <c r="B79" s="669" t="s">
        <v>580</v>
      </c>
      <c r="C79" s="704" t="s">
        <v>573</v>
      </c>
      <c r="D79" s="704" t="s">
        <v>574</v>
      </c>
      <c r="E79" s="704" t="s">
        <v>575</v>
      </c>
      <c r="F79" s="704" t="s">
        <v>576</v>
      </c>
      <c r="G79" s="704" t="s">
        <v>577</v>
      </c>
      <c r="H79" s="670"/>
      <c r="I79" s="670"/>
      <c r="J79" s="670"/>
      <c r="K79" s="671"/>
      <c r="L79" s="672"/>
      <c r="M79" s="673"/>
      <c r="N79" s="2159"/>
      <c r="O79" s="2159"/>
      <c r="P79" s="2209"/>
      <c r="Q79" s="2153"/>
      <c r="R79" s="2140"/>
      <c r="S79" s="2140"/>
      <c r="T79" s="2140"/>
      <c r="U79" s="2140"/>
      <c r="V79" s="2140"/>
      <c r="W79" s="2140"/>
      <c r="X79" s="2140"/>
      <c r="Y79" s="2140"/>
      <c r="Z79" s="2140"/>
      <c r="AA79" s="2140"/>
      <c r="AB79" s="2140"/>
      <c r="AC79" s="2140"/>
    </row>
    <row r="80" spans="1:29" ht="15.75" thickBot="1">
      <c r="A80" s="665"/>
      <c r="B80" s="674"/>
      <c r="C80" s="675">
        <v>100</v>
      </c>
      <c r="D80" s="675">
        <f>C80-$K17</f>
        <v>100</v>
      </c>
      <c r="E80" s="675">
        <f>D80-$K17</f>
        <v>100</v>
      </c>
      <c r="F80" s="675">
        <f>E80-$K17</f>
        <v>100</v>
      </c>
      <c r="G80" s="675">
        <f>F80-$K17</f>
        <v>100</v>
      </c>
      <c r="H80" s="675"/>
      <c r="I80" s="675"/>
      <c r="J80" s="675"/>
      <c r="K80" s="675"/>
      <c r="L80" s="675"/>
      <c r="M80" s="676"/>
      <c r="N80" s="2161"/>
      <c r="O80" s="2161"/>
      <c r="P80" s="2209"/>
      <c r="Q80" s="2153"/>
      <c r="R80" s="2140"/>
      <c r="S80" s="2140"/>
      <c r="T80" s="2140"/>
      <c r="U80" s="2140"/>
      <c r="V80" s="2140"/>
      <c r="W80" s="2140"/>
      <c r="X80" s="2140"/>
      <c r="Y80" s="2140"/>
      <c r="Z80" s="2140"/>
      <c r="AA80" s="2140"/>
      <c r="AB80" s="2140"/>
      <c r="AC80" s="2140"/>
    </row>
    <row r="81" spans="1:29" ht="15.75" thickTop="1">
      <c r="A81" s="665"/>
      <c r="B81" s="1891" t="s">
        <v>2554</v>
      </c>
      <c r="C81" s="704" t="s">
        <v>573</v>
      </c>
      <c r="D81" s="704" t="s">
        <v>574</v>
      </c>
      <c r="E81" s="704" t="s">
        <v>575</v>
      </c>
      <c r="F81" s="704" t="s">
        <v>576</v>
      </c>
      <c r="G81" s="704" t="s">
        <v>577</v>
      </c>
      <c r="H81" s="670"/>
      <c r="I81" s="670"/>
      <c r="J81" s="670"/>
      <c r="K81" s="671"/>
      <c r="L81" s="672"/>
      <c r="M81" s="673"/>
      <c r="N81" s="2159"/>
      <c r="O81" s="2159"/>
      <c r="P81" s="2209"/>
      <c r="Q81" s="2153"/>
      <c r="R81" s="2140"/>
      <c r="S81" s="2140"/>
      <c r="T81" s="2140"/>
      <c r="U81" s="2140"/>
      <c r="V81" s="2140"/>
      <c r="W81" s="2140"/>
      <c r="X81" s="2140"/>
      <c r="Y81" s="2140"/>
      <c r="Z81" s="2140"/>
      <c r="AA81" s="2140"/>
      <c r="AB81" s="2140"/>
      <c r="AC81" s="2140"/>
    </row>
    <row r="82" spans="1:29" ht="15.75" thickBot="1">
      <c r="A82" s="665"/>
      <c r="B82" s="674"/>
      <c r="C82" s="675">
        <v>100</v>
      </c>
      <c r="D82" s="675">
        <f>C82-$K19</f>
        <v>100</v>
      </c>
      <c r="E82" s="675">
        <f>D82-$K19</f>
        <v>100</v>
      </c>
      <c r="F82" s="675">
        <f>E82-$K19</f>
        <v>100</v>
      </c>
      <c r="G82" s="675">
        <f>F82-$K19</f>
        <v>100</v>
      </c>
      <c r="H82" s="675"/>
      <c r="I82" s="675"/>
      <c r="J82" s="675"/>
      <c r="K82" s="675"/>
      <c r="L82" s="675"/>
      <c r="M82" s="676"/>
      <c r="N82" s="2161"/>
      <c r="O82" s="2161"/>
      <c r="P82" s="2209"/>
      <c r="Q82" s="2153"/>
      <c r="R82" s="2140"/>
      <c r="S82" s="2140"/>
      <c r="T82" s="2140"/>
      <c r="U82" s="2140"/>
      <c r="V82" s="2140"/>
      <c r="W82" s="2140"/>
      <c r="X82" s="2140"/>
      <c r="Y82" s="2140"/>
      <c r="Z82" s="2140"/>
      <c r="AA82" s="2140"/>
      <c r="AB82" s="2140"/>
      <c r="AC82" s="2140"/>
    </row>
    <row r="83" spans="1:29" ht="15.75" thickTop="1">
      <c r="A83" s="665"/>
      <c r="B83" s="2616" t="s">
        <v>2555</v>
      </c>
      <c r="C83" s="2617" t="s">
        <v>2556</v>
      </c>
      <c r="D83" s="2617" t="s">
        <v>2557</v>
      </c>
      <c r="E83" s="2617" t="s">
        <v>2558</v>
      </c>
      <c r="F83" s="2617" t="s">
        <v>2559</v>
      </c>
      <c r="G83" s="2617" t="s">
        <v>2560</v>
      </c>
      <c r="H83" s="670"/>
      <c r="I83" s="670"/>
      <c r="J83" s="670"/>
      <c r="K83" s="670"/>
      <c r="L83" s="670"/>
      <c r="M83" s="2620"/>
      <c r="N83" s="2161"/>
      <c r="O83" s="2161"/>
      <c r="P83" s="2209"/>
      <c r="Q83" s="2153"/>
      <c r="R83" s="2140"/>
      <c r="S83" s="2140"/>
      <c r="T83" s="2140"/>
      <c r="U83" s="2140"/>
      <c r="V83" s="2140"/>
      <c r="W83" s="2140"/>
      <c r="X83" s="2140"/>
      <c r="Y83" s="2140"/>
      <c r="Z83" s="2140"/>
      <c r="AA83" s="2140"/>
      <c r="AB83" s="2140"/>
      <c r="AC83" s="2140"/>
    </row>
    <row r="84" spans="1:29" ht="15.75" thickBot="1">
      <c r="A84" s="665"/>
      <c r="B84" s="677"/>
      <c r="C84" s="675">
        <v>100</v>
      </c>
      <c r="D84" s="675">
        <f>C84-$K21</f>
        <v>100</v>
      </c>
      <c r="E84" s="675">
        <f>D84-$K21</f>
        <v>100</v>
      </c>
      <c r="F84" s="675">
        <f>E84-$K21</f>
        <v>100</v>
      </c>
      <c r="G84" s="675">
        <f>F84-$K21</f>
        <v>100</v>
      </c>
      <c r="H84" s="930"/>
      <c r="I84" s="930"/>
      <c r="J84" s="930"/>
      <c r="K84" s="930"/>
      <c r="L84" s="930"/>
      <c r="M84" s="555"/>
      <c r="N84" s="2161"/>
      <c r="O84" s="2161"/>
      <c r="P84" s="2209"/>
      <c r="Q84" s="2153"/>
      <c r="R84" s="2140"/>
      <c r="S84" s="2140"/>
      <c r="T84" s="2140"/>
      <c r="U84" s="2140"/>
      <c r="V84" s="2140"/>
      <c r="W84" s="2140"/>
      <c r="X84" s="2140"/>
      <c r="Y84" s="2140"/>
      <c r="Z84" s="2140"/>
      <c r="AA84" s="2140"/>
      <c r="AB84" s="2140"/>
      <c r="AC84" s="2140"/>
    </row>
    <row r="85" spans="1:29" ht="15.75" thickTop="1">
      <c r="A85" s="665"/>
      <c r="B85" s="669" t="s">
        <v>777</v>
      </c>
      <c r="C85" s="704" t="s">
        <v>573</v>
      </c>
      <c r="D85" s="704" t="s">
        <v>574</v>
      </c>
      <c r="E85" s="704" t="s">
        <v>575</v>
      </c>
      <c r="F85" s="704" t="s">
        <v>576</v>
      </c>
      <c r="G85" s="704" t="s">
        <v>577</v>
      </c>
      <c r="H85" s="670"/>
      <c r="I85" s="670"/>
      <c r="J85" s="670"/>
      <c r="K85" s="671"/>
      <c r="L85" s="672"/>
      <c r="M85" s="673"/>
      <c r="N85" s="2159"/>
      <c r="O85" s="2159"/>
      <c r="P85" s="2209"/>
      <c r="Q85" s="2153"/>
      <c r="R85" s="2140"/>
      <c r="S85" s="2140"/>
      <c r="T85" s="2140"/>
      <c r="U85" s="2140"/>
      <c r="V85" s="2140"/>
      <c r="W85" s="2140"/>
      <c r="X85" s="2140"/>
      <c r="Y85" s="2140"/>
      <c r="Z85" s="2140"/>
      <c r="AA85" s="2140"/>
      <c r="AB85" s="2140"/>
      <c r="AC85" s="2140"/>
    </row>
    <row r="86" spans="1:29" ht="15.75" thickBot="1">
      <c r="A86" s="665"/>
      <c r="B86" s="674"/>
      <c r="C86" s="675">
        <v>100</v>
      </c>
      <c r="D86" s="675">
        <f>C86-$K23</f>
        <v>100</v>
      </c>
      <c r="E86" s="675">
        <f>D86-$K23</f>
        <v>100</v>
      </c>
      <c r="F86" s="675">
        <f>E86-$K23</f>
        <v>100</v>
      </c>
      <c r="G86" s="675">
        <f>F86-$K23</f>
        <v>100</v>
      </c>
      <c r="H86" s="675"/>
      <c r="I86" s="675"/>
      <c r="J86" s="675"/>
      <c r="K86" s="675"/>
      <c r="L86" s="675"/>
      <c r="M86" s="676"/>
      <c r="N86" s="2161"/>
      <c r="O86" s="2161"/>
      <c r="P86" s="2209"/>
      <c r="Q86" s="2153"/>
      <c r="R86" s="2140"/>
      <c r="S86" s="2140"/>
      <c r="T86" s="2140"/>
      <c r="U86" s="2140"/>
      <c r="V86" s="2140"/>
      <c r="W86" s="2140"/>
      <c r="X86" s="2140"/>
      <c r="Y86" s="2140"/>
      <c r="Z86" s="2140"/>
      <c r="AA86" s="2140"/>
      <c r="AB86" s="2140"/>
      <c r="AC86" s="2140"/>
    </row>
    <row r="87" spans="1:29" s="1215" customFormat="1" ht="27.75" thickTop="1">
      <c r="A87" s="705"/>
      <c r="B87" s="669" t="s">
        <v>778</v>
      </c>
      <c r="C87" s="684"/>
      <c r="D87" s="684"/>
      <c r="E87" s="684"/>
      <c r="F87" s="684"/>
      <c r="G87" s="684"/>
      <c r="H87" s="684"/>
      <c r="I87" s="684"/>
      <c r="J87" s="684"/>
      <c r="K87" s="684"/>
      <c r="L87" s="885"/>
      <c r="M87" s="886"/>
      <c r="N87" s="2157"/>
      <c r="O87" s="2157"/>
      <c r="P87" s="2209"/>
      <c r="Q87" s="2153"/>
      <c r="R87" s="1988"/>
      <c r="S87" s="1988"/>
      <c r="T87" s="1988"/>
      <c r="U87" s="1988"/>
      <c r="V87" s="1988"/>
      <c r="W87" s="1988"/>
      <c r="X87" s="1988"/>
      <c r="Y87" s="1988"/>
      <c r="Z87" s="1988"/>
      <c r="AA87" s="1988"/>
      <c r="AB87" s="1988"/>
      <c r="AC87" s="1988"/>
    </row>
    <row r="88" spans="1:29" s="1215" customFormat="1" ht="15.75" thickBot="1">
      <c r="A88" s="705"/>
      <c r="B88" s="674"/>
      <c r="C88" s="708">
        <v>100</v>
      </c>
      <c r="D88" s="675">
        <f t="shared" ref="D88:M88" si="19">C88-$K25</f>
        <v>100</v>
      </c>
      <c r="E88" s="675">
        <f t="shared" si="19"/>
        <v>100</v>
      </c>
      <c r="F88" s="675">
        <f t="shared" si="19"/>
        <v>100</v>
      </c>
      <c r="G88" s="675">
        <f t="shared" si="19"/>
        <v>100</v>
      </c>
      <c r="H88" s="675">
        <f t="shared" si="19"/>
        <v>100</v>
      </c>
      <c r="I88" s="675">
        <f t="shared" si="19"/>
        <v>100</v>
      </c>
      <c r="J88" s="675">
        <f t="shared" si="19"/>
        <v>100</v>
      </c>
      <c r="K88" s="675">
        <f t="shared" si="19"/>
        <v>100</v>
      </c>
      <c r="L88" s="675">
        <f t="shared" si="19"/>
        <v>100</v>
      </c>
      <c r="M88" s="675">
        <f t="shared" si="19"/>
        <v>100</v>
      </c>
      <c r="N88" s="2161"/>
      <c r="O88" s="2161"/>
      <c r="P88" s="2209"/>
      <c r="Q88" s="2153"/>
      <c r="R88" s="1988"/>
      <c r="S88" s="1988"/>
      <c r="T88" s="1988"/>
      <c r="U88" s="1988"/>
      <c r="V88" s="1988"/>
      <c r="W88" s="1988"/>
      <c r="X88" s="1988"/>
      <c r="Y88" s="1988"/>
      <c r="Z88" s="1988"/>
      <c r="AA88" s="1988"/>
      <c r="AB88" s="1988"/>
      <c r="AC88" s="1988"/>
    </row>
    <row r="89" spans="1:29" s="1215" customFormat="1" ht="15.75" thickTop="1">
      <c r="A89" s="705"/>
      <c r="B89" s="669" t="str">
        <f>B27</f>
        <v>楼层</v>
      </c>
      <c r="C89" s="684"/>
      <c r="D89" s="684"/>
      <c r="E89" s="684"/>
      <c r="F89" s="887"/>
      <c r="G89" s="684"/>
      <c r="H89" s="684"/>
      <c r="I89" s="684"/>
      <c r="J89" s="684"/>
      <c r="K89" s="684"/>
      <c r="L89" s="684"/>
      <c r="M89" s="886"/>
      <c r="N89" s="2157"/>
      <c r="O89" s="2157"/>
      <c r="P89" s="2209"/>
      <c r="Q89" s="2153"/>
      <c r="R89" s="1988"/>
      <c r="S89" s="1988"/>
      <c r="T89" s="1988"/>
      <c r="U89" s="1988"/>
      <c r="V89" s="1988"/>
      <c r="W89" s="1988"/>
      <c r="X89" s="1988"/>
      <c r="Y89" s="1988"/>
      <c r="Z89" s="1988"/>
      <c r="AA89" s="1988"/>
      <c r="AB89" s="1988"/>
      <c r="AC89" s="1988"/>
    </row>
    <row r="90" spans="1:29" s="1215" customFormat="1" ht="15.75" thickBot="1">
      <c r="A90" s="705"/>
      <c r="B90" s="674"/>
      <c r="C90" s="708">
        <v>100</v>
      </c>
      <c r="D90" s="675">
        <f>C90-$K27</f>
        <v>100</v>
      </c>
      <c r="E90" s="675">
        <f t="shared" ref="E90:M90" si="20">D90-$K27</f>
        <v>100</v>
      </c>
      <c r="F90" s="675">
        <f t="shared" si="20"/>
        <v>100</v>
      </c>
      <c r="G90" s="675">
        <f t="shared" si="20"/>
        <v>100</v>
      </c>
      <c r="H90" s="675">
        <f t="shared" si="20"/>
        <v>100</v>
      </c>
      <c r="I90" s="675">
        <f t="shared" si="20"/>
        <v>100</v>
      </c>
      <c r="J90" s="675">
        <f t="shared" si="20"/>
        <v>100</v>
      </c>
      <c r="K90" s="675">
        <f t="shared" si="20"/>
        <v>100</v>
      </c>
      <c r="L90" s="675">
        <f t="shared" si="20"/>
        <v>100</v>
      </c>
      <c r="M90" s="675">
        <f t="shared" si="20"/>
        <v>100</v>
      </c>
      <c r="N90" s="2161"/>
      <c r="O90" s="2161"/>
      <c r="P90" s="2209"/>
      <c r="Q90" s="2153"/>
      <c r="R90" s="1988"/>
      <c r="S90" s="1988"/>
      <c r="T90" s="1988"/>
      <c r="U90" s="1988"/>
      <c r="V90" s="1988"/>
      <c r="W90" s="1988"/>
      <c r="X90" s="1988"/>
      <c r="Y90" s="1988"/>
      <c r="Z90" s="1988"/>
      <c r="AA90" s="1988"/>
      <c r="AB90" s="1988"/>
      <c r="AC90" s="1988"/>
    </row>
    <row r="91" spans="1:29" s="1334" customFormat="1" ht="15.75" thickTop="1">
      <c r="A91" s="683"/>
      <c r="B91" s="669" t="str">
        <f>B28</f>
        <v>朝向</v>
      </c>
      <c r="C91" s="684"/>
      <c r="D91" s="684"/>
      <c r="E91" s="684"/>
      <c r="F91" s="684"/>
      <c r="G91" s="684"/>
      <c r="H91" s="685"/>
      <c r="I91" s="685"/>
      <c r="J91" s="685"/>
      <c r="K91" s="685"/>
      <c r="L91" s="686"/>
      <c r="M91" s="687"/>
      <c r="N91" s="2162"/>
      <c r="O91" s="2162"/>
      <c r="P91" s="2210"/>
      <c r="Q91" s="2164"/>
      <c r="R91" s="2165"/>
      <c r="S91" s="2165"/>
      <c r="T91" s="2165"/>
      <c r="U91" s="2165"/>
      <c r="V91" s="2165"/>
      <c r="W91" s="2165"/>
      <c r="X91" s="2165"/>
      <c r="Y91" s="2165"/>
      <c r="Z91" s="2165"/>
      <c r="AA91" s="2165"/>
      <c r="AB91" s="2165"/>
      <c r="AC91" s="2165"/>
    </row>
    <row r="92" spans="1:29" s="1334" customFormat="1" ht="15.75" thickBot="1">
      <c r="A92" s="683"/>
      <c r="B92" s="674"/>
      <c r="C92" s="708">
        <v>100</v>
      </c>
      <c r="D92" s="675">
        <f t="shared" ref="D92:M92" si="21">C92-$K28</f>
        <v>100</v>
      </c>
      <c r="E92" s="675">
        <f t="shared" si="21"/>
        <v>100</v>
      </c>
      <c r="F92" s="675">
        <f t="shared" si="21"/>
        <v>100</v>
      </c>
      <c r="G92" s="675">
        <f t="shared" si="21"/>
        <v>100</v>
      </c>
      <c r="H92" s="675">
        <f t="shared" si="21"/>
        <v>100</v>
      </c>
      <c r="I92" s="675">
        <f t="shared" si="21"/>
        <v>100</v>
      </c>
      <c r="J92" s="675">
        <f t="shared" si="21"/>
        <v>100</v>
      </c>
      <c r="K92" s="675">
        <f t="shared" si="21"/>
        <v>100</v>
      </c>
      <c r="L92" s="675">
        <f t="shared" si="21"/>
        <v>100</v>
      </c>
      <c r="M92" s="675">
        <f t="shared" si="21"/>
        <v>100</v>
      </c>
      <c r="N92" s="2162"/>
      <c r="O92" s="2162"/>
      <c r="P92" s="2210"/>
      <c r="Q92" s="2164"/>
      <c r="R92" s="2165"/>
      <c r="S92" s="2165"/>
      <c r="T92" s="2165"/>
      <c r="U92" s="2165"/>
      <c r="V92" s="2165"/>
      <c r="W92" s="2165"/>
      <c r="X92" s="2165"/>
      <c r="Y92" s="2165"/>
      <c r="Z92" s="2165"/>
      <c r="AA92" s="2165"/>
      <c r="AB92" s="2165"/>
      <c r="AC92" s="2165"/>
    </row>
    <row r="93" spans="1:29" ht="15.75" thickTop="1">
      <c r="A93" s="665"/>
      <c r="B93" s="669">
        <f>B29</f>
        <v>111</v>
      </c>
      <c r="C93" s="684"/>
      <c r="D93" s="684"/>
      <c r="E93" s="684"/>
      <c r="F93" s="684"/>
      <c r="G93" s="684"/>
      <c r="H93" s="684"/>
      <c r="I93" s="684"/>
      <c r="J93" s="684"/>
      <c r="K93" s="684"/>
      <c r="L93" s="885"/>
      <c r="M93" s="886"/>
      <c r="N93" s="2159"/>
      <c r="O93" s="2159"/>
      <c r="P93" s="2209"/>
      <c r="Q93" s="2153"/>
      <c r="R93" s="2140"/>
      <c r="S93" s="2140"/>
      <c r="T93" s="2140"/>
      <c r="U93" s="2140"/>
      <c r="V93" s="2140"/>
      <c r="W93" s="2140"/>
      <c r="X93" s="2140"/>
      <c r="Y93" s="2140"/>
      <c r="Z93" s="2140"/>
      <c r="AA93" s="2140"/>
      <c r="AB93" s="2140"/>
      <c r="AC93" s="2140"/>
    </row>
    <row r="94" spans="1:29" ht="15.75" thickBot="1">
      <c r="A94" s="665"/>
      <c r="B94" s="674"/>
      <c r="C94" s="688"/>
      <c r="D94" s="667"/>
      <c r="E94" s="667"/>
      <c r="F94" s="667"/>
      <c r="G94" s="667"/>
      <c r="H94" s="667"/>
      <c r="I94" s="667"/>
      <c r="J94" s="667"/>
      <c r="K94" s="667"/>
      <c r="L94" s="667"/>
      <c r="M94" s="668"/>
      <c r="N94" s="2161"/>
      <c r="O94" s="2161"/>
      <c r="P94" s="2209"/>
      <c r="Q94" s="2153"/>
      <c r="R94" s="2140"/>
      <c r="S94" s="2140"/>
      <c r="T94" s="2140"/>
      <c r="U94" s="2140"/>
      <c r="V94" s="2140"/>
      <c r="W94" s="2140"/>
      <c r="X94" s="2140"/>
      <c r="Y94" s="2140"/>
      <c r="Z94" s="2140"/>
      <c r="AA94" s="2140"/>
      <c r="AB94" s="2140"/>
      <c r="AC94" s="2140"/>
    </row>
    <row r="95" spans="1:29" ht="15.75" thickTop="1">
      <c r="A95" s="665"/>
      <c r="B95" s="669">
        <f>B30</f>
        <v>111</v>
      </c>
      <c r="C95" s="684"/>
      <c r="D95" s="684"/>
      <c r="E95" s="684"/>
      <c r="F95" s="684"/>
      <c r="G95" s="714"/>
      <c r="H95" s="714"/>
      <c r="I95" s="714"/>
      <c r="J95" s="714"/>
      <c r="K95" s="715"/>
      <c r="L95" s="716"/>
      <c r="M95" s="717"/>
      <c r="N95" s="2159"/>
      <c r="O95" s="2159"/>
      <c r="P95" s="2209"/>
      <c r="Q95" s="2153"/>
      <c r="R95" s="2140"/>
      <c r="S95" s="2140"/>
      <c r="T95" s="2140"/>
      <c r="U95" s="2140"/>
      <c r="V95" s="2140"/>
      <c r="W95" s="2140"/>
      <c r="X95" s="2140"/>
      <c r="Y95" s="2140"/>
      <c r="Z95" s="2140"/>
      <c r="AA95" s="2140"/>
      <c r="AB95" s="2140"/>
      <c r="AC95" s="2140"/>
    </row>
    <row r="96" spans="1:29" ht="15.75" thickBot="1">
      <c r="A96" s="665"/>
      <c r="B96" s="674"/>
      <c r="C96" s="688"/>
      <c r="D96" s="688"/>
      <c r="E96" s="688"/>
      <c r="F96" s="688"/>
      <c r="G96" s="667"/>
      <c r="H96" s="667"/>
      <c r="I96" s="667"/>
      <c r="J96" s="667"/>
      <c r="K96" s="667"/>
      <c r="L96" s="667"/>
      <c r="M96" s="668"/>
      <c r="N96" s="2161"/>
      <c r="O96" s="2161"/>
      <c r="P96" s="2209"/>
      <c r="Q96" s="2153"/>
      <c r="R96" s="2140"/>
      <c r="S96" s="2140"/>
      <c r="T96" s="2140"/>
      <c r="U96" s="2140"/>
      <c r="V96" s="2140"/>
      <c r="W96" s="2140"/>
      <c r="X96" s="2140"/>
      <c r="Y96" s="2140"/>
      <c r="Z96" s="2140"/>
      <c r="AA96" s="2140"/>
      <c r="AB96" s="2140"/>
      <c r="AC96" s="2140"/>
    </row>
    <row r="97" spans="1:29" ht="15.75" thickTop="1">
      <c r="A97" s="665"/>
      <c r="B97" s="669">
        <f>B31</f>
        <v>111</v>
      </c>
      <c r="C97" s="684"/>
      <c r="D97" s="684"/>
      <c r="E97" s="684"/>
      <c r="F97" s="684"/>
      <c r="G97" s="714"/>
      <c r="H97" s="714"/>
      <c r="I97" s="714"/>
      <c r="J97" s="714"/>
      <c r="K97" s="715"/>
      <c r="L97" s="716"/>
      <c r="M97" s="717"/>
      <c r="N97" s="2159"/>
      <c r="O97" s="2159"/>
      <c r="P97" s="2209"/>
      <c r="Q97" s="2153"/>
      <c r="R97" s="2140"/>
      <c r="S97" s="2140"/>
      <c r="T97" s="2140"/>
      <c r="U97" s="2140"/>
      <c r="V97" s="2140"/>
      <c r="W97" s="2140"/>
      <c r="X97" s="2140"/>
      <c r="Y97" s="2140"/>
      <c r="Z97" s="2140"/>
      <c r="AA97" s="2140"/>
      <c r="AB97" s="2140"/>
      <c r="AC97" s="2140"/>
    </row>
    <row r="98" spans="1:29" ht="15.75" thickBot="1">
      <c r="A98" s="665"/>
      <c r="B98" s="674"/>
      <c r="C98" s="688"/>
      <c r="D98" s="667"/>
      <c r="E98" s="667"/>
      <c r="F98" s="667"/>
      <c r="G98" s="667"/>
      <c r="H98" s="667"/>
      <c r="I98" s="667"/>
      <c r="J98" s="667"/>
      <c r="K98" s="667"/>
      <c r="L98" s="667"/>
      <c r="M98" s="668"/>
      <c r="N98" s="2161"/>
      <c r="O98" s="2161"/>
      <c r="P98" s="2209"/>
      <c r="Q98" s="2153"/>
      <c r="R98" s="2140"/>
      <c r="S98" s="2140"/>
      <c r="T98" s="2140"/>
      <c r="U98" s="2140"/>
      <c r="V98" s="2140"/>
      <c r="W98" s="2140"/>
      <c r="X98" s="2140"/>
      <c r="Y98" s="2140"/>
      <c r="Z98" s="2140"/>
      <c r="AA98" s="2140"/>
      <c r="AB98" s="2140"/>
      <c r="AC98" s="2140"/>
    </row>
    <row r="99" spans="1:29" ht="15.75" thickTop="1">
      <c r="A99" s="665"/>
      <c r="B99" s="677">
        <f>B32</f>
        <v>111</v>
      </c>
      <c r="C99" s="657"/>
      <c r="D99" s="657"/>
      <c r="E99" s="657"/>
      <c r="F99" s="657"/>
      <c r="G99" s="718"/>
      <c r="H99" s="718"/>
      <c r="I99" s="718"/>
      <c r="J99" s="718"/>
      <c r="K99" s="719"/>
      <c r="L99" s="720"/>
      <c r="M99" s="721"/>
      <c r="N99" s="2159"/>
      <c r="O99" s="2159"/>
      <c r="P99" s="2209"/>
      <c r="Q99" s="2153"/>
      <c r="R99" s="2140"/>
      <c r="S99" s="2140"/>
      <c r="T99" s="2140"/>
      <c r="U99" s="2140"/>
      <c r="V99" s="2140"/>
      <c r="W99" s="2140"/>
      <c r="X99" s="2140"/>
      <c r="Y99" s="2140"/>
      <c r="Z99" s="2140"/>
      <c r="AA99" s="2140"/>
      <c r="AB99" s="2140"/>
      <c r="AC99" s="2140"/>
    </row>
    <row r="100" spans="1:29" ht="15.75" thickBot="1">
      <c r="A100" s="888"/>
      <c r="B100" s="695"/>
      <c r="C100" s="696"/>
      <c r="D100" s="696"/>
      <c r="E100" s="696"/>
      <c r="F100" s="696"/>
      <c r="G100" s="722"/>
      <c r="H100" s="722"/>
      <c r="I100" s="722"/>
      <c r="J100" s="722"/>
      <c r="K100" s="722"/>
      <c r="L100" s="722"/>
      <c r="M100" s="723"/>
      <c r="N100" s="2161"/>
      <c r="O100" s="2161"/>
      <c r="P100" s="2209"/>
      <c r="Q100" s="2153"/>
      <c r="R100" s="2140"/>
      <c r="S100" s="2140"/>
      <c r="T100" s="2140"/>
      <c r="U100" s="2140"/>
      <c r="V100" s="2140"/>
      <c r="W100" s="2140"/>
      <c r="X100" s="2140"/>
      <c r="Y100" s="2140"/>
      <c r="Z100" s="2140"/>
      <c r="AA100" s="2140"/>
      <c r="AB100" s="2140"/>
      <c r="AC100" s="2140"/>
    </row>
    <row r="101" spans="1:29">
      <c r="A101" s="660" t="s">
        <v>545</v>
      </c>
      <c r="B101" s="661" t="s">
        <v>740</v>
      </c>
      <c r="C101" s="594"/>
      <c r="D101" s="594"/>
      <c r="E101" s="594"/>
      <c r="F101" s="594"/>
      <c r="G101" s="594"/>
      <c r="H101" s="594"/>
      <c r="I101" s="594"/>
      <c r="J101" s="594"/>
      <c r="K101" s="662"/>
      <c r="L101" s="663"/>
      <c r="M101" s="664"/>
      <c r="N101" s="2159"/>
      <c r="O101" s="2159"/>
      <c r="P101" s="2209"/>
      <c r="Q101" s="2153"/>
      <c r="R101" s="2140"/>
      <c r="S101" s="2140"/>
      <c r="T101" s="2140"/>
      <c r="U101" s="2140"/>
      <c r="V101" s="2140"/>
      <c r="W101" s="2140"/>
      <c r="X101" s="2140"/>
      <c r="Y101" s="2140"/>
      <c r="Z101" s="2140"/>
      <c r="AA101" s="2140"/>
      <c r="AB101" s="2140"/>
      <c r="AC101" s="2140"/>
    </row>
    <row r="102" spans="1:29" ht="15.75" thickBot="1">
      <c r="A102" s="665"/>
      <c r="B102" s="674"/>
      <c r="C102" s="675">
        <v>100</v>
      </c>
      <c r="D102" s="675">
        <f t="shared" ref="D102:M102" si="22">C102-$K33</f>
        <v>100</v>
      </c>
      <c r="E102" s="675">
        <f t="shared" si="22"/>
        <v>100</v>
      </c>
      <c r="F102" s="675">
        <f t="shared" si="22"/>
        <v>100</v>
      </c>
      <c r="G102" s="675">
        <f t="shared" si="22"/>
        <v>100</v>
      </c>
      <c r="H102" s="675">
        <f t="shared" si="22"/>
        <v>100</v>
      </c>
      <c r="I102" s="675">
        <f t="shared" si="22"/>
        <v>100</v>
      </c>
      <c r="J102" s="675">
        <f t="shared" si="22"/>
        <v>100</v>
      </c>
      <c r="K102" s="675">
        <f t="shared" si="22"/>
        <v>100</v>
      </c>
      <c r="L102" s="675">
        <f t="shared" si="22"/>
        <v>100</v>
      </c>
      <c r="M102" s="676">
        <f t="shared" si="22"/>
        <v>100</v>
      </c>
      <c r="N102" s="2161"/>
      <c r="O102" s="2161"/>
      <c r="P102" s="2209"/>
      <c r="Q102" s="2153"/>
      <c r="R102" s="2140"/>
      <c r="S102" s="2140"/>
      <c r="T102" s="2140"/>
      <c r="U102" s="2140"/>
      <c r="V102" s="2140"/>
      <c r="W102" s="2140"/>
      <c r="X102" s="2140"/>
      <c r="Y102" s="2140"/>
      <c r="Z102" s="2140"/>
      <c r="AA102" s="2140"/>
      <c r="AB102" s="2140"/>
      <c r="AC102" s="2140"/>
    </row>
    <row r="103" spans="1:29" ht="15.75" thickTop="1">
      <c r="A103" s="665"/>
      <c r="B103" s="669" t="s">
        <v>741</v>
      </c>
      <c r="C103" s="704" t="str">
        <f>C104&amp;"(含)"&amp;"-"&amp;D104</f>
        <v>(含)-</v>
      </c>
      <c r="D103" s="704" t="str">
        <f t="shared" ref="D103:L103" si="23">D104&amp;"(含)"&amp;"-"&amp;E104</f>
        <v>(含)-</v>
      </c>
      <c r="E103" s="704" t="str">
        <f t="shared" si="23"/>
        <v>(含)-</v>
      </c>
      <c r="F103" s="704" t="str">
        <f t="shared" si="23"/>
        <v>(含)-</v>
      </c>
      <c r="G103" s="704" t="str">
        <f t="shared" si="23"/>
        <v>(含)-</v>
      </c>
      <c r="H103" s="704" t="str">
        <f t="shared" si="23"/>
        <v>(含)-</v>
      </c>
      <c r="I103" s="704" t="str">
        <f t="shared" si="23"/>
        <v>(含)-</v>
      </c>
      <c r="J103" s="704" t="str">
        <f t="shared" si="23"/>
        <v>(含)-</v>
      </c>
      <c r="K103" s="704" t="str">
        <f t="shared" si="23"/>
        <v>(含)-</v>
      </c>
      <c r="L103" s="704" t="str">
        <f t="shared" si="23"/>
        <v>(含)-</v>
      </c>
      <c r="M103" s="707" t="str">
        <f>M104&amp;"(含)"&amp;"-"&amp;P104</f>
        <v>(含)-</v>
      </c>
      <c r="N103" s="2157"/>
      <c r="O103" s="2157"/>
      <c r="P103" s="2209"/>
      <c r="Q103" s="2153"/>
      <c r="R103" s="2140"/>
      <c r="S103" s="2140"/>
      <c r="T103" s="2140"/>
      <c r="U103" s="2140"/>
      <c r="V103" s="2140"/>
      <c r="W103" s="2140"/>
      <c r="X103" s="2140"/>
      <c r="Y103" s="2140"/>
      <c r="Z103" s="2140"/>
      <c r="AA103" s="2140"/>
      <c r="AB103" s="2140"/>
      <c r="AC103" s="2140"/>
    </row>
    <row r="104" spans="1:29" s="1334" customFormat="1">
      <c r="A104" s="724"/>
      <c r="B104" s="725"/>
      <c r="C104" s="726"/>
      <c r="D104" s="726"/>
      <c r="E104" s="726"/>
      <c r="F104" s="726"/>
      <c r="G104" s="726"/>
      <c r="H104" s="726"/>
      <c r="I104" s="726"/>
      <c r="J104" s="727"/>
      <c r="K104" s="727"/>
      <c r="L104" s="728"/>
      <c r="M104" s="729"/>
      <c r="N104" s="2162"/>
      <c r="O104" s="2162"/>
      <c r="P104" s="2210"/>
      <c r="Q104" s="2164"/>
      <c r="R104" s="2165"/>
      <c r="S104" s="2165"/>
      <c r="T104" s="2165"/>
      <c r="U104" s="2165"/>
      <c r="V104" s="2165"/>
      <c r="W104" s="2165"/>
      <c r="X104" s="2165"/>
      <c r="Y104" s="2165"/>
      <c r="Z104" s="2165"/>
      <c r="AA104" s="2165"/>
      <c r="AB104" s="2165"/>
      <c r="AC104" s="2165"/>
    </row>
    <row r="105" spans="1:29" s="1334" customFormat="1" ht="15.75" thickBot="1">
      <c r="A105" s="683"/>
      <c r="B105" s="674"/>
      <c r="C105" s="688"/>
      <c r="D105" s="667"/>
      <c r="E105" s="667"/>
      <c r="F105" s="667"/>
      <c r="G105" s="667"/>
      <c r="H105" s="667"/>
      <c r="I105" s="667"/>
      <c r="J105" s="667"/>
      <c r="K105" s="667"/>
      <c r="L105" s="667"/>
      <c r="M105" s="668"/>
      <c r="N105" s="2161"/>
      <c r="O105" s="2161"/>
      <c r="P105" s="2210"/>
      <c r="Q105" s="2164"/>
      <c r="R105" s="2165"/>
      <c r="S105" s="2165"/>
      <c r="T105" s="2165"/>
      <c r="U105" s="2165"/>
      <c r="V105" s="2165"/>
      <c r="W105" s="2165"/>
      <c r="X105" s="2165"/>
      <c r="Y105" s="2165"/>
      <c r="Z105" s="2165"/>
      <c r="AA105" s="2165"/>
      <c r="AB105" s="2165"/>
      <c r="AC105" s="2165"/>
    </row>
    <row r="106" spans="1:29" ht="15" thickTop="1">
      <c r="A106" s="731"/>
      <c r="B106" s="669" t="s">
        <v>742</v>
      </c>
      <c r="C106" s="684"/>
      <c r="D106" s="684"/>
      <c r="E106" s="714"/>
      <c r="F106" s="714"/>
      <c r="G106" s="714"/>
      <c r="H106" s="714"/>
      <c r="I106" s="714"/>
      <c r="J106" s="714"/>
      <c r="K106" s="715"/>
      <c r="L106" s="716"/>
      <c r="M106" s="717"/>
      <c r="N106" s="2159"/>
      <c r="O106" s="2159"/>
      <c r="P106" s="2209"/>
      <c r="Q106" s="2153"/>
      <c r="R106" s="2140"/>
      <c r="S106" s="2140"/>
      <c r="T106" s="2140"/>
      <c r="U106" s="2140"/>
      <c r="V106" s="2140"/>
      <c r="W106" s="2140"/>
      <c r="X106" s="2140"/>
      <c r="Y106" s="2140"/>
      <c r="Z106" s="2140"/>
      <c r="AA106" s="2140"/>
      <c r="AB106" s="2140"/>
      <c r="AC106" s="2140"/>
    </row>
    <row r="107" spans="1:29" ht="15.75" thickBot="1">
      <c r="A107" s="665"/>
      <c r="B107" s="674"/>
      <c r="C107" s="675">
        <v>100</v>
      </c>
      <c r="D107" s="675">
        <f t="shared" ref="D107:M107" si="24">C107-$K35</f>
        <v>100</v>
      </c>
      <c r="E107" s="675">
        <f t="shared" si="24"/>
        <v>100</v>
      </c>
      <c r="F107" s="675">
        <f t="shared" si="24"/>
        <v>100</v>
      </c>
      <c r="G107" s="675">
        <f t="shared" si="24"/>
        <v>100</v>
      </c>
      <c r="H107" s="675">
        <f t="shared" si="24"/>
        <v>100</v>
      </c>
      <c r="I107" s="675">
        <f t="shared" si="24"/>
        <v>100</v>
      </c>
      <c r="J107" s="675">
        <f t="shared" si="24"/>
        <v>100</v>
      </c>
      <c r="K107" s="675">
        <f t="shared" si="24"/>
        <v>100</v>
      </c>
      <c r="L107" s="675">
        <f t="shared" si="24"/>
        <v>100</v>
      </c>
      <c r="M107" s="676">
        <f t="shared" si="24"/>
        <v>100</v>
      </c>
      <c r="N107" s="2161"/>
      <c r="O107" s="2161"/>
      <c r="P107" s="2209"/>
      <c r="Q107" s="2153"/>
      <c r="R107" s="2140"/>
      <c r="S107" s="2140"/>
      <c r="T107" s="2140"/>
      <c r="U107" s="2140"/>
      <c r="V107" s="2140"/>
      <c r="W107" s="2140"/>
      <c r="X107" s="2140"/>
      <c r="Y107" s="2140"/>
      <c r="Z107" s="2140"/>
      <c r="AA107" s="2140"/>
      <c r="AB107" s="2140"/>
      <c r="AC107" s="2140"/>
    </row>
    <row r="108" spans="1:29" ht="15" thickTop="1">
      <c r="A108" s="731"/>
      <c r="B108" s="669" t="s">
        <v>744</v>
      </c>
      <c r="C108" s="684"/>
      <c r="D108" s="684"/>
      <c r="E108" s="684"/>
      <c r="F108" s="714"/>
      <c r="G108" s="714"/>
      <c r="H108" s="714"/>
      <c r="I108" s="714"/>
      <c r="J108" s="714"/>
      <c r="K108" s="715"/>
      <c r="L108" s="716"/>
      <c r="M108" s="717"/>
      <c r="N108" s="2159"/>
      <c r="O108" s="2159"/>
      <c r="P108" s="2209"/>
      <c r="Q108" s="2153"/>
      <c r="R108" s="2140"/>
      <c r="S108" s="2140"/>
      <c r="T108" s="2140"/>
      <c r="U108" s="2140"/>
      <c r="V108" s="2140"/>
      <c r="W108" s="2140"/>
      <c r="X108" s="2140"/>
      <c r="Y108" s="2140"/>
      <c r="Z108" s="2140"/>
      <c r="AA108" s="2140"/>
      <c r="AB108" s="2140"/>
      <c r="AC108" s="2140"/>
    </row>
    <row r="109" spans="1:29" ht="15.75" thickBot="1">
      <c r="A109" s="665"/>
      <c r="B109" s="674"/>
      <c r="C109" s="675">
        <v>100</v>
      </c>
      <c r="D109" s="675">
        <f t="shared" ref="D109:M109" si="25">C109-$K36</f>
        <v>100</v>
      </c>
      <c r="E109" s="675">
        <f t="shared" si="25"/>
        <v>100</v>
      </c>
      <c r="F109" s="675">
        <f t="shared" si="25"/>
        <v>100</v>
      </c>
      <c r="G109" s="675">
        <f t="shared" si="25"/>
        <v>100</v>
      </c>
      <c r="H109" s="675">
        <f t="shared" si="25"/>
        <v>100</v>
      </c>
      <c r="I109" s="675">
        <f t="shared" si="25"/>
        <v>100</v>
      </c>
      <c r="J109" s="675">
        <f t="shared" si="25"/>
        <v>100</v>
      </c>
      <c r="K109" s="675">
        <f t="shared" si="25"/>
        <v>100</v>
      </c>
      <c r="L109" s="675">
        <f t="shared" si="25"/>
        <v>100</v>
      </c>
      <c r="M109" s="676">
        <f t="shared" si="25"/>
        <v>100</v>
      </c>
      <c r="N109" s="2161"/>
      <c r="O109" s="2161"/>
      <c r="P109" s="2209"/>
      <c r="Q109" s="2153"/>
      <c r="R109" s="2140"/>
      <c r="S109" s="2140"/>
      <c r="T109" s="2140"/>
      <c r="U109" s="2140"/>
      <c r="V109" s="2140"/>
      <c r="W109" s="2140"/>
      <c r="X109" s="2140"/>
      <c r="Y109" s="2140"/>
      <c r="Z109" s="2140"/>
      <c r="AA109" s="2140"/>
      <c r="AB109" s="2140"/>
      <c r="AC109" s="2140"/>
    </row>
    <row r="110" spans="1:29" ht="15" thickTop="1">
      <c r="A110" s="731"/>
      <c r="B110" s="669" t="s">
        <v>745</v>
      </c>
      <c r="C110" s="704" t="str">
        <f>C111&amp;"(含)"&amp;"-"&amp;D111</f>
        <v>0.5(含)-0.6</v>
      </c>
      <c r="D110" s="704" t="str">
        <f>D111&amp;"(含)"&amp;"-"&amp;E111</f>
        <v>0.6(含)-0.7</v>
      </c>
      <c r="E110" s="704" t="str">
        <f>E111&amp;"(含)"&amp;"-"&amp;F111</f>
        <v>0.7(含)-0.8</v>
      </c>
      <c r="F110" s="704" t="str">
        <f>F111&amp;"(含)"&amp;"-"&amp;G111</f>
        <v>0.8(含)-0.9</v>
      </c>
      <c r="G110" s="704" t="str">
        <f>G111&amp;"(含)"&amp;"-"&amp;ROUND(H111,0)</f>
        <v>0.9(含)-1</v>
      </c>
      <c r="H110" s="704"/>
      <c r="I110" s="714"/>
      <c r="J110" s="714"/>
      <c r="K110" s="715"/>
      <c r="L110" s="716"/>
      <c r="M110" s="717"/>
      <c r="N110" s="2159"/>
      <c r="O110" s="2159"/>
      <c r="P110" s="2209"/>
      <c r="Q110" s="2153"/>
      <c r="R110" s="2140"/>
      <c r="S110" s="2140"/>
      <c r="T110" s="2140"/>
      <c r="U110" s="2140"/>
      <c r="V110" s="2140"/>
      <c r="W110" s="2140"/>
      <c r="X110" s="2140"/>
      <c r="Y110" s="2140"/>
      <c r="Z110" s="2140"/>
      <c r="AA110" s="2140"/>
      <c r="AB110" s="2140"/>
      <c r="AC110" s="2140"/>
    </row>
    <row r="111" spans="1:29">
      <c r="A111" s="731"/>
      <c r="B111" s="677"/>
      <c r="C111" s="889">
        <v>0.5</v>
      </c>
      <c r="D111" s="889">
        <v>0.6</v>
      </c>
      <c r="E111" s="889">
        <v>0.7</v>
      </c>
      <c r="F111" s="889">
        <v>0.8</v>
      </c>
      <c r="G111" s="889">
        <v>0.9</v>
      </c>
      <c r="H111" s="889">
        <v>1.0001</v>
      </c>
      <c r="I111" s="900"/>
      <c r="J111" s="900"/>
      <c r="K111" s="901"/>
      <c r="L111" s="902"/>
      <c r="M111" s="903"/>
      <c r="N111" s="2159"/>
      <c r="O111" s="2159"/>
      <c r="P111" s="2209"/>
      <c r="Q111" s="2153"/>
      <c r="R111" s="2140"/>
      <c r="S111" s="2140"/>
      <c r="T111" s="2140"/>
      <c r="U111" s="2140"/>
      <c r="V111" s="2140"/>
      <c r="W111" s="2140"/>
      <c r="X111" s="2140"/>
      <c r="Y111" s="2140"/>
      <c r="Z111" s="2140"/>
      <c r="AA111" s="2140"/>
      <c r="AB111" s="2140"/>
      <c r="AC111" s="2140"/>
    </row>
    <row r="112" spans="1:29" ht="15.75" thickBot="1">
      <c r="A112" s="665"/>
      <c r="B112" s="674"/>
      <c r="C112" s="708">
        <v>100</v>
      </c>
      <c r="D112" s="675">
        <f>C112+$K37</f>
        <v>100</v>
      </c>
      <c r="E112" s="675">
        <f t="shared" ref="E112:M112" si="26">D112+$K37</f>
        <v>100</v>
      </c>
      <c r="F112" s="675">
        <f t="shared" si="26"/>
        <v>100</v>
      </c>
      <c r="G112" s="675">
        <f t="shared" si="26"/>
        <v>100</v>
      </c>
      <c r="H112" s="675">
        <f t="shared" si="26"/>
        <v>100</v>
      </c>
      <c r="I112" s="675">
        <f t="shared" si="26"/>
        <v>100</v>
      </c>
      <c r="J112" s="675">
        <f t="shared" si="26"/>
        <v>100</v>
      </c>
      <c r="K112" s="675">
        <f t="shared" si="26"/>
        <v>100</v>
      </c>
      <c r="L112" s="675">
        <f t="shared" si="26"/>
        <v>100</v>
      </c>
      <c r="M112" s="675">
        <f t="shared" si="26"/>
        <v>100</v>
      </c>
      <c r="N112" s="2161"/>
      <c r="O112" s="2161"/>
      <c r="P112" s="2209"/>
      <c r="Q112" s="2153"/>
      <c r="R112" s="2140"/>
      <c r="S112" s="2140"/>
      <c r="T112" s="2140"/>
      <c r="U112" s="2140"/>
      <c r="V112" s="2140"/>
      <c r="W112" s="2140"/>
      <c r="X112" s="2140"/>
      <c r="Y112" s="2140"/>
      <c r="Z112" s="2140"/>
      <c r="AA112" s="2140"/>
      <c r="AB112" s="2140"/>
      <c r="AC112" s="2140"/>
    </row>
    <row r="113" spans="1:29" s="1334" customFormat="1" ht="15" thickTop="1">
      <c r="A113" s="724"/>
      <c r="B113" s="669" t="s">
        <v>779</v>
      </c>
      <c r="C113" s="684"/>
      <c r="D113" s="684"/>
      <c r="E113" s="684"/>
      <c r="F113" s="684"/>
      <c r="G113" s="684"/>
      <c r="H113" s="714"/>
      <c r="I113" s="714"/>
      <c r="J113" s="714"/>
      <c r="K113" s="715"/>
      <c r="L113" s="716"/>
      <c r="M113" s="717"/>
      <c r="N113" s="2162"/>
      <c r="O113" s="2162"/>
      <c r="P113" s="2210"/>
      <c r="Q113" s="2164"/>
      <c r="R113" s="2165"/>
      <c r="S113" s="2165"/>
      <c r="T113" s="2165"/>
      <c r="U113" s="2165"/>
      <c r="V113" s="2165"/>
      <c r="W113" s="2165"/>
      <c r="X113" s="2165"/>
      <c r="Y113" s="2165"/>
      <c r="Z113" s="2165"/>
      <c r="AA113" s="2165"/>
      <c r="AB113" s="2165"/>
      <c r="AC113" s="2165"/>
    </row>
    <row r="114" spans="1:29" s="1334" customFormat="1" ht="15.75" thickBot="1">
      <c r="A114" s="683"/>
      <c r="B114" s="674"/>
      <c r="C114" s="675">
        <v>100</v>
      </c>
      <c r="D114" s="675">
        <f>C114-$K38</f>
        <v>100</v>
      </c>
      <c r="E114" s="675">
        <f t="shared" ref="E114:M114" si="27">D114-$K38</f>
        <v>100</v>
      </c>
      <c r="F114" s="675">
        <f t="shared" si="27"/>
        <v>100</v>
      </c>
      <c r="G114" s="675">
        <f t="shared" si="27"/>
        <v>100</v>
      </c>
      <c r="H114" s="675">
        <f t="shared" si="27"/>
        <v>100</v>
      </c>
      <c r="I114" s="675">
        <f t="shared" si="27"/>
        <v>100</v>
      </c>
      <c r="J114" s="675">
        <f t="shared" si="27"/>
        <v>100</v>
      </c>
      <c r="K114" s="675">
        <f t="shared" si="27"/>
        <v>100</v>
      </c>
      <c r="L114" s="675">
        <f t="shared" si="27"/>
        <v>100</v>
      </c>
      <c r="M114" s="675">
        <f t="shared" si="27"/>
        <v>100</v>
      </c>
      <c r="N114" s="2162"/>
      <c r="O114" s="2162"/>
      <c r="P114" s="2210"/>
      <c r="Q114" s="2164"/>
      <c r="R114" s="2165"/>
      <c r="S114" s="2165"/>
      <c r="T114" s="2165"/>
      <c r="U114" s="2165"/>
      <c r="V114" s="2165"/>
      <c r="W114" s="2165"/>
      <c r="X114" s="2165"/>
      <c r="Y114" s="2165"/>
      <c r="Z114" s="2165"/>
      <c r="AA114" s="2165"/>
      <c r="AB114" s="2165"/>
      <c r="AC114" s="2165"/>
    </row>
    <row r="115" spans="1:29" ht="15" thickTop="1">
      <c r="A115" s="731"/>
      <c r="B115" s="669" t="s">
        <v>746</v>
      </c>
      <c r="C115" s="684"/>
      <c r="D115" s="684"/>
      <c r="E115" s="714"/>
      <c r="F115" s="714"/>
      <c r="G115" s="714"/>
      <c r="H115" s="714"/>
      <c r="I115" s="714"/>
      <c r="J115" s="714"/>
      <c r="K115" s="715"/>
      <c r="L115" s="716"/>
      <c r="M115" s="717"/>
      <c r="N115" s="2159"/>
      <c r="O115" s="2159"/>
      <c r="P115" s="2209"/>
      <c r="Q115" s="2153"/>
      <c r="R115" s="2140"/>
      <c r="S115" s="2140"/>
      <c r="T115" s="2140"/>
      <c r="U115" s="2140"/>
      <c r="V115" s="2140"/>
      <c r="W115" s="2140"/>
      <c r="X115" s="2140"/>
      <c r="Y115" s="2140"/>
      <c r="Z115" s="2140"/>
      <c r="AA115" s="2140"/>
      <c r="AB115" s="2140"/>
      <c r="AC115" s="2140"/>
    </row>
    <row r="116" spans="1:29" ht="15.75" thickBot="1">
      <c r="A116" s="665"/>
      <c r="B116" s="674"/>
      <c r="C116" s="675">
        <v>100</v>
      </c>
      <c r="D116" s="675">
        <f t="shared" ref="D116:M116" si="28">C116-$K39</f>
        <v>100</v>
      </c>
      <c r="E116" s="675">
        <f t="shared" si="28"/>
        <v>100</v>
      </c>
      <c r="F116" s="675">
        <f t="shared" si="28"/>
        <v>100</v>
      </c>
      <c r="G116" s="675">
        <f t="shared" si="28"/>
        <v>100</v>
      </c>
      <c r="H116" s="675">
        <f t="shared" si="28"/>
        <v>100</v>
      </c>
      <c r="I116" s="675">
        <f t="shared" si="28"/>
        <v>100</v>
      </c>
      <c r="J116" s="675">
        <f t="shared" si="28"/>
        <v>100</v>
      </c>
      <c r="K116" s="675">
        <f t="shared" si="28"/>
        <v>100</v>
      </c>
      <c r="L116" s="675">
        <f t="shared" si="28"/>
        <v>100</v>
      </c>
      <c r="M116" s="676">
        <f t="shared" si="28"/>
        <v>100</v>
      </c>
      <c r="N116" s="2161"/>
      <c r="O116" s="2161"/>
      <c r="P116" s="2209"/>
      <c r="Q116" s="2153"/>
      <c r="R116" s="2140"/>
      <c r="S116" s="2140"/>
      <c r="T116" s="2140"/>
      <c r="U116" s="2140"/>
      <c r="V116" s="2140"/>
      <c r="W116" s="2140"/>
      <c r="X116" s="2140"/>
      <c r="Y116" s="2140"/>
      <c r="Z116" s="2140"/>
      <c r="AA116" s="2140"/>
      <c r="AB116" s="2140"/>
      <c r="AC116" s="2140"/>
    </row>
    <row r="117" spans="1:29" ht="15" thickTop="1">
      <c r="A117" s="731"/>
      <c r="B117" s="1891" t="s">
        <v>2553</v>
      </c>
      <c r="C117" s="684"/>
      <c r="D117" s="684"/>
      <c r="E117" s="684"/>
      <c r="F117" s="684"/>
      <c r="G117" s="684"/>
      <c r="H117" s="714"/>
      <c r="I117" s="714"/>
      <c r="J117" s="714"/>
      <c r="K117" s="715"/>
      <c r="L117" s="716"/>
      <c r="M117" s="717"/>
      <c r="N117" s="2159"/>
      <c r="O117" s="2159"/>
      <c r="P117" s="2209"/>
      <c r="Q117" s="2153"/>
      <c r="R117" s="2140"/>
      <c r="S117" s="2140"/>
      <c r="T117" s="2140"/>
      <c r="U117" s="2140"/>
      <c r="V117" s="2140"/>
      <c r="W117" s="2140"/>
      <c r="X117" s="2140"/>
      <c r="Y117" s="2140"/>
      <c r="Z117" s="2140"/>
      <c r="AA117" s="2140"/>
      <c r="AB117" s="2140"/>
      <c r="AC117" s="2140"/>
    </row>
    <row r="118" spans="1:29" ht="15.75" thickBot="1">
      <c r="A118" s="665"/>
      <c r="B118" s="674"/>
      <c r="C118" s="675">
        <v>100</v>
      </c>
      <c r="D118" s="675">
        <f>C118-$K40</f>
        <v>100</v>
      </c>
      <c r="E118" s="675">
        <f>D118-$K40</f>
        <v>100</v>
      </c>
      <c r="F118" s="675">
        <f>E118-$K40</f>
        <v>100</v>
      </c>
      <c r="G118" s="675">
        <f>F118-$K40</f>
        <v>100</v>
      </c>
      <c r="H118" s="675"/>
      <c r="I118" s="675"/>
      <c r="J118" s="675"/>
      <c r="K118" s="675"/>
      <c r="L118" s="675"/>
      <c r="M118" s="676"/>
      <c r="N118" s="2161"/>
      <c r="O118" s="2161"/>
      <c r="P118" s="2209"/>
      <c r="Q118" s="2153"/>
      <c r="R118" s="2140"/>
      <c r="S118" s="2140"/>
      <c r="T118" s="2140"/>
      <c r="U118" s="2140"/>
      <c r="V118" s="2140"/>
      <c r="W118" s="2140"/>
      <c r="X118" s="2140"/>
      <c r="Y118" s="2140"/>
      <c r="Z118" s="2140"/>
      <c r="AA118" s="2140"/>
      <c r="AB118" s="2140"/>
      <c r="AC118" s="2140"/>
    </row>
    <row r="119" spans="1:29" ht="15" thickTop="1">
      <c r="A119" s="731"/>
      <c r="B119" s="912" t="s">
        <v>780</v>
      </c>
      <c r="C119" s="714"/>
      <c r="D119" s="714"/>
      <c r="E119" s="714"/>
      <c r="F119" s="714"/>
      <c r="G119" s="714"/>
      <c r="H119" s="714"/>
      <c r="I119" s="714"/>
      <c r="J119" s="714"/>
      <c r="K119" s="714"/>
      <c r="L119" s="913"/>
      <c r="M119" s="914"/>
      <c r="N119" s="2161"/>
      <c r="O119" s="2161"/>
      <c r="P119" s="2214"/>
      <c r="Q119" s="2201"/>
      <c r="R119" s="2140"/>
      <c r="S119" s="2140"/>
      <c r="T119" s="2140"/>
      <c r="U119" s="2140"/>
      <c r="V119" s="2140"/>
      <c r="W119" s="2140"/>
      <c r="X119" s="2140"/>
      <c r="Y119" s="2140"/>
      <c r="Z119" s="2140"/>
      <c r="AA119" s="2140"/>
      <c r="AB119" s="2140"/>
      <c r="AC119" s="2140"/>
    </row>
    <row r="120" spans="1:29" ht="15.75" thickBot="1">
      <c r="A120" s="665"/>
      <c r="B120" s="674"/>
      <c r="C120" s="708">
        <v>100</v>
      </c>
      <c r="D120" s="675">
        <f>C120-$K41</f>
        <v>100</v>
      </c>
      <c r="E120" s="675">
        <f t="shared" ref="E120:M120" si="29">D120-$K41</f>
        <v>100</v>
      </c>
      <c r="F120" s="675">
        <f t="shared" si="29"/>
        <v>100</v>
      </c>
      <c r="G120" s="675">
        <f t="shared" si="29"/>
        <v>100</v>
      </c>
      <c r="H120" s="675">
        <f t="shared" si="29"/>
        <v>100</v>
      </c>
      <c r="I120" s="675">
        <f t="shared" si="29"/>
        <v>100</v>
      </c>
      <c r="J120" s="675">
        <f t="shared" si="29"/>
        <v>100</v>
      </c>
      <c r="K120" s="675">
        <f t="shared" si="29"/>
        <v>100</v>
      </c>
      <c r="L120" s="675">
        <f t="shared" si="29"/>
        <v>100</v>
      </c>
      <c r="M120" s="675">
        <f t="shared" si="29"/>
        <v>100</v>
      </c>
      <c r="N120" s="2161"/>
      <c r="O120" s="2161"/>
      <c r="P120" s="2209"/>
      <c r="Q120" s="2153"/>
      <c r="R120" s="2140"/>
      <c r="S120" s="2140"/>
      <c r="T120" s="2140"/>
      <c r="U120" s="2140"/>
      <c r="V120" s="2140"/>
      <c r="W120" s="2140"/>
      <c r="X120" s="2140"/>
      <c r="Y120" s="2140"/>
      <c r="Z120" s="2140"/>
      <c r="AA120" s="2140"/>
      <c r="AB120" s="2140"/>
      <c r="AC120" s="2140"/>
    </row>
    <row r="121" spans="1:29" s="1334" customFormat="1" ht="15" thickTop="1">
      <c r="A121" s="724"/>
      <c r="B121" s="669" t="s">
        <v>768</v>
      </c>
      <c r="C121" s="684"/>
      <c r="D121" s="684"/>
      <c r="E121" s="684"/>
      <c r="F121" s="714"/>
      <c r="G121" s="685"/>
      <c r="H121" s="685"/>
      <c r="I121" s="685"/>
      <c r="J121" s="685"/>
      <c r="K121" s="685"/>
      <c r="L121" s="686"/>
      <c r="M121" s="687"/>
      <c r="N121" s="2162"/>
      <c r="O121" s="2162"/>
      <c r="P121" s="2210"/>
      <c r="Q121" s="2164"/>
      <c r="R121" s="2165"/>
      <c r="S121" s="2165"/>
      <c r="T121" s="2165"/>
      <c r="U121" s="2165"/>
      <c r="V121" s="2165"/>
      <c r="W121" s="2165"/>
      <c r="X121" s="2165"/>
      <c r="Y121" s="2165"/>
      <c r="Z121" s="2165"/>
      <c r="AA121" s="2165"/>
      <c r="AB121" s="2165"/>
      <c r="AC121" s="2165"/>
    </row>
    <row r="122" spans="1:29" s="1334" customFormat="1" ht="15.75" thickBot="1">
      <c r="A122" s="683"/>
      <c r="B122" s="666"/>
      <c r="C122" s="688"/>
      <c r="D122" s="688"/>
      <c r="E122" s="688"/>
      <c r="F122" s="688"/>
      <c r="G122" s="688"/>
      <c r="H122" s="688"/>
      <c r="I122" s="688"/>
      <c r="J122" s="688"/>
      <c r="K122" s="688"/>
      <c r="L122" s="688"/>
      <c r="M122" s="688"/>
      <c r="N122" s="2162"/>
      <c r="O122" s="2162"/>
      <c r="P122" s="2210"/>
      <c r="Q122" s="2164"/>
      <c r="R122" s="2165"/>
      <c r="S122" s="2165"/>
      <c r="T122" s="2165"/>
      <c r="U122" s="2165"/>
      <c r="V122" s="2165"/>
      <c r="W122" s="2165"/>
      <c r="X122" s="2165"/>
      <c r="Y122" s="2165"/>
      <c r="Z122" s="2165"/>
      <c r="AA122" s="2165"/>
      <c r="AB122" s="2165"/>
      <c r="AC122" s="2165"/>
    </row>
    <row r="123" spans="1:29" ht="15" thickTop="1">
      <c r="A123" s="731"/>
      <c r="B123" s="669" t="s">
        <v>748</v>
      </c>
      <c r="C123" s="684"/>
      <c r="D123" s="684"/>
      <c r="E123" s="684"/>
      <c r="F123" s="714"/>
      <c r="G123" s="714"/>
      <c r="H123" s="714"/>
      <c r="I123" s="714"/>
      <c r="J123" s="714"/>
      <c r="K123" s="715"/>
      <c r="L123" s="716"/>
      <c r="M123" s="717"/>
      <c r="N123" s="2159"/>
      <c r="O123" s="2159"/>
      <c r="P123" s="2209"/>
      <c r="Q123" s="2153"/>
      <c r="R123" s="2140"/>
      <c r="S123" s="2140"/>
      <c r="T123" s="2140"/>
      <c r="U123" s="2140"/>
      <c r="V123" s="2140"/>
      <c r="W123" s="2140"/>
      <c r="X123" s="2140"/>
      <c r="Y123" s="2140"/>
      <c r="Z123" s="2140"/>
      <c r="AA123" s="2140"/>
      <c r="AB123" s="2140"/>
      <c r="AC123" s="2140"/>
    </row>
    <row r="124" spans="1:29" ht="15.75" thickBot="1">
      <c r="A124" s="665"/>
      <c r="B124" s="674"/>
      <c r="C124" s="675">
        <v>100</v>
      </c>
      <c r="D124" s="675">
        <f t="shared" ref="D124:M124" si="30">C124-$K43</f>
        <v>100</v>
      </c>
      <c r="E124" s="675">
        <f t="shared" si="30"/>
        <v>100</v>
      </c>
      <c r="F124" s="675">
        <f t="shared" si="30"/>
        <v>100</v>
      </c>
      <c r="G124" s="675">
        <f t="shared" si="30"/>
        <v>100</v>
      </c>
      <c r="H124" s="675">
        <f t="shared" si="30"/>
        <v>100</v>
      </c>
      <c r="I124" s="675">
        <f t="shared" si="30"/>
        <v>100</v>
      </c>
      <c r="J124" s="675">
        <f t="shared" si="30"/>
        <v>100</v>
      </c>
      <c r="K124" s="675">
        <f t="shared" si="30"/>
        <v>100</v>
      </c>
      <c r="L124" s="675">
        <f t="shared" si="30"/>
        <v>100</v>
      </c>
      <c r="M124" s="676">
        <f t="shared" si="30"/>
        <v>100</v>
      </c>
      <c r="N124" s="2161"/>
      <c r="O124" s="2161"/>
      <c r="P124" s="2209"/>
      <c r="Q124" s="2153"/>
      <c r="R124" s="2140"/>
      <c r="S124" s="2140"/>
      <c r="T124" s="2140"/>
      <c r="U124" s="2140"/>
      <c r="V124" s="2140"/>
      <c r="W124" s="2140"/>
      <c r="X124" s="2140"/>
      <c r="Y124" s="2140"/>
      <c r="Z124" s="2140"/>
      <c r="AA124" s="2140"/>
      <c r="AB124" s="2140"/>
      <c r="AC124" s="2140"/>
    </row>
    <row r="125" spans="1:29" ht="27.75" thickTop="1">
      <c r="A125" s="731"/>
      <c r="B125" s="669" t="s">
        <v>749</v>
      </c>
      <c r="C125" s="704" t="s">
        <v>573</v>
      </c>
      <c r="D125" s="704" t="s">
        <v>574</v>
      </c>
      <c r="E125" s="704" t="s">
        <v>575</v>
      </c>
      <c r="F125" s="704" t="s">
        <v>576</v>
      </c>
      <c r="G125" s="704" t="s">
        <v>577</v>
      </c>
      <c r="H125" s="670"/>
      <c r="I125" s="670"/>
      <c r="J125" s="670"/>
      <c r="K125" s="671"/>
      <c r="L125" s="672"/>
      <c r="M125" s="673"/>
      <c r="N125" s="2159"/>
      <c r="O125" s="2159"/>
      <c r="P125" s="2210"/>
      <c r="Q125" s="2153"/>
      <c r="R125" s="2140"/>
      <c r="S125" s="2140"/>
      <c r="T125" s="2140"/>
      <c r="U125" s="2140"/>
      <c r="V125" s="2140"/>
      <c r="W125" s="2140"/>
      <c r="X125" s="2140"/>
      <c r="Y125" s="2140"/>
      <c r="Z125" s="2140"/>
      <c r="AA125" s="2140"/>
      <c r="AB125" s="2140"/>
      <c r="AC125" s="2140"/>
    </row>
    <row r="126" spans="1:29" ht="15.75" thickBot="1">
      <c r="A126" s="665"/>
      <c r="B126" s="674"/>
      <c r="C126" s="675">
        <v>100</v>
      </c>
      <c r="D126" s="675">
        <f>C126-$K44</f>
        <v>100</v>
      </c>
      <c r="E126" s="675">
        <f>D126-$K44</f>
        <v>100</v>
      </c>
      <c r="F126" s="675">
        <f>E126-$K44</f>
        <v>100</v>
      </c>
      <c r="G126" s="675">
        <f>F126-$K44</f>
        <v>100</v>
      </c>
      <c r="H126" s="675"/>
      <c r="I126" s="675"/>
      <c r="J126" s="675"/>
      <c r="K126" s="675"/>
      <c r="L126" s="675"/>
      <c r="M126" s="676"/>
      <c r="N126" s="2161"/>
      <c r="O126" s="2161"/>
      <c r="P126" s="2209"/>
      <c r="Q126" s="2153"/>
      <c r="R126" s="2140"/>
      <c r="S126" s="2140"/>
      <c r="T126" s="2140"/>
      <c r="U126" s="2140"/>
      <c r="V126" s="2140"/>
      <c r="W126" s="2140"/>
      <c r="X126" s="2140"/>
      <c r="Y126" s="2140"/>
      <c r="Z126" s="2140"/>
      <c r="AA126" s="2140"/>
      <c r="AB126" s="2140"/>
      <c r="AC126" s="2140"/>
    </row>
    <row r="127" spans="1:29" s="1334" customFormat="1" ht="15" thickTop="1">
      <c r="A127" s="724"/>
      <c r="B127" s="669">
        <f>B45</f>
        <v>111</v>
      </c>
      <c r="C127" s="684"/>
      <c r="D127" s="684"/>
      <c r="E127" s="684"/>
      <c r="F127" s="684"/>
      <c r="G127" s="684"/>
      <c r="H127" s="685"/>
      <c r="I127" s="685"/>
      <c r="J127" s="685"/>
      <c r="K127" s="685"/>
      <c r="L127" s="686"/>
      <c r="M127" s="687"/>
      <c r="N127" s="2162"/>
      <c r="O127" s="2162"/>
      <c r="P127" s="2210"/>
      <c r="Q127" s="2164"/>
      <c r="R127" s="2165"/>
      <c r="S127" s="2165"/>
      <c r="T127" s="2165"/>
      <c r="U127" s="2165"/>
      <c r="V127" s="2165"/>
      <c r="W127" s="2165"/>
      <c r="X127" s="2165"/>
      <c r="Y127" s="2165"/>
      <c r="Z127" s="2165"/>
      <c r="AA127" s="2165"/>
      <c r="AB127" s="2165"/>
      <c r="AC127" s="2165"/>
    </row>
    <row r="128" spans="1:29" s="1334" customFormat="1" ht="15.75" thickBot="1">
      <c r="A128" s="683"/>
      <c r="B128" s="674"/>
      <c r="C128" s="688"/>
      <c r="D128" s="667"/>
      <c r="E128" s="667"/>
      <c r="F128" s="667"/>
      <c r="G128" s="688"/>
      <c r="H128" s="689"/>
      <c r="I128" s="689"/>
      <c r="J128" s="689"/>
      <c r="K128" s="689"/>
      <c r="L128" s="689"/>
      <c r="M128" s="690"/>
      <c r="N128" s="2162"/>
      <c r="O128" s="2162"/>
      <c r="P128" s="2210"/>
      <c r="Q128" s="2164"/>
      <c r="R128" s="2165"/>
      <c r="S128" s="2165"/>
      <c r="T128" s="2165"/>
      <c r="U128" s="2165"/>
      <c r="V128" s="2165"/>
      <c r="W128" s="2165"/>
      <c r="X128" s="2165"/>
      <c r="Y128" s="2165"/>
      <c r="Z128" s="2165"/>
      <c r="AA128" s="2165"/>
      <c r="AB128" s="2165"/>
      <c r="AC128" s="2165"/>
    </row>
    <row r="129" spans="1:29" ht="15" thickTop="1">
      <c r="A129" s="731"/>
      <c r="B129" s="669">
        <f>B46</f>
        <v>111</v>
      </c>
      <c r="C129" s="684"/>
      <c r="D129" s="684"/>
      <c r="E129" s="684"/>
      <c r="F129" s="684"/>
      <c r="G129" s="714"/>
      <c r="H129" s="714"/>
      <c r="I129" s="714"/>
      <c r="J129" s="714"/>
      <c r="K129" s="715"/>
      <c r="L129" s="716"/>
      <c r="M129" s="717"/>
      <c r="N129" s="2159"/>
      <c r="O129" s="2159"/>
      <c r="P129" s="2209"/>
      <c r="Q129" s="2153"/>
      <c r="R129" s="2140"/>
      <c r="S129" s="2140"/>
      <c r="T129" s="2140"/>
      <c r="U129" s="2140"/>
      <c r="V129" s="2140"/>
      <c r="W129" s="2140"/>
      <c r="X129" s="2140"/>
      <c r="Y129" s="2140"/>
      <c r="Z129" s="2140"/>
      <c r="AA129" s="2140"/>
      <c r="AB129" s="2140"/>
      <c r="AC129" s="2140"/>
    </row>
    <row r="130" spans="1:29" ht="15.75" thickBot="1">
      <c r="A130" s="665"/>
      <c r="B130" s="674"/>
      <c r="C130" s="688"/>
      <c r="D130" s="688"/>
      <c r="E130" s="688"/>
      <c r="F130" s="688"/>
      <c r="G130" s="667"/>
      <c r="H130" s="667"/>
      <c r="I130" s="667"/>
      <c r="J130" s="667"/>
      <c r="K130" s="667"/>
      <c r="L130" s="667"/>
      <c r="M130" s="668"/>
      <c r="N130" s="2161"/>
      <c r="O130" s="2161"/>
      <c r="P130" s="2209"/>
      <c r="Q130" s="2153"/>
      <c r="R130" s="2140"/>
      <c r="S130" s="2140"/>
      <c r="T130" s="2140"/>
      <c r="U130" s="2140"/>
      <c r="V130" s="2140"/>
      <c r="W130" s="2140"/>
      <c r="X130" s="2140"/>
      <c r="Y130" s="2140"/>
      <c r="Z130" s="2140"/>
      <c r="AA130" s="2140"/>
      <c r="AB130" s="2140"/>
      <c r="AC130" s="2140"/>
    </row>
    <row r="131" spans="1:29" ht="15" thickTop="1">
      <c r="A131" s="731"/>
      <c r="B131" s="677">
        <f>B47</f>
        <v>111</v>
      </c>
      <c r="C131" s="657"/>
      <c r="D131" s="657"/>
      <c r="E131" s="657"/>
      <c r="F131" s="657"/>
      <c r="G131" s="718"/>
      <c r="H131" s="718"/>
      <c r="I131" s="718"/>
      <c r="J131" s="718"/>
      <c r="K131" s="657"/>
      <c r="L131" s="658"/>
      <c r="M131" s="721"/>
      <c r="N131" s="2159"/>
      <c r="O131" s="2159"/>
      <c r="P131" s="2209"/>
      <c r="Q131" s="2153"/>
      <c r="R131" s="2140"/>
      <c r="S131" s="2140"/>
      <c r="T131" s="2140"/>
      <c r="U131" s="2140"/>
      <c r="V131" s="2140"/>
      <c r="W131" s="2140"/>
      <c r="X131" s="2140"/>
      <c r="Y131" s="2140"/>
      <c r="Z131" s="2140"/>
      <c r="AA131" s="2140"/>
      <c r="AB131" s="2140"/>
      <c r="AC131" s="2140"/>
    </row>
    <row r="132" spans="1:29" ht="15.75" thickBot="1">
      <c r="A132" s="888"/>
      <c r="B132" s="695"/>
      <c r="C132" s="696"/>
      <c r="D132" s="696"/>
      <c r="E132" s="696"/>
      <c r="F132" s="696"/>
      <c r="G132" s="722"/>
      <c r="H132" s="722"/>
      <c r="I132" s="722"/>
      <c r="J132" s="722"/>
      <c r="K132" s="722"/>
      <c r="L132" s="722"/>
      <c r="M132" s="723"/>
      <c r="N132" s="2161"/>
      <c r="O132" s="2161"/>
      <c r="P132" s="2209"/>
      <c r="Q132" s="2153"/>
      <c r="R132" s="2140"/>
      <c r="S132" s="2140"/>
      <c r="T132" s="2140"/>
      <c r="U132" s="2140"/>
      <c r="V132" s="2140"/>
      <c r="W132" s="2140"/>
      <c r="X132" s="2140"/>
      <c r="Y132" s="2140"/>
      <c r="Z132" s="2140"/>
      <c r="AA132" s="2140"/>
      <c r="AB132" s="2140"/>
      <c r="AC132" s="2140"/>
    </row>
    <row r="133" spans="1:29">
      <c r="A133" s="2174"/>
      <c r="B133" s="2174"/>
      <c r="C133" s="2174"/>
      <c r="D133" s="2174"/>
      <c r="E133" s="2174"/>
      <c r="F133" s="2174"/>
      <c r="G133" s="2174"/>
      <c r="H133" s="2174"/>
      <c r="I133" s="2174"/>
      <c r="J133" s="2174"/>
      <c r="K133" s="2175"/>
      <c r="L133" s="2176"/>
      <c r="M133" s="2174"/>
      <c r="N133" s="2174"/>
      <c r="O133" s="2174"/>
      <c r="P133" s="2215"/>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215"/>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215"/>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215"/>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215"/>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215"/>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215"/>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215"/>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215"/>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215"/>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215"/>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215"/>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215"/>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215"/>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215"/>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215"/>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215"/>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215"/>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215"/>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215"/>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215"/>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215"/>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215"/>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215"/>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215"/>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215"/>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215"/>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215"/>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215"/>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215"/>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215"/>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215"/>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215"/>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215"/>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215"/>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215"/>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215"/>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215"/>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215"/>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215"/>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215"/>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215"/>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215"/>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215"/>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215"/>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215"/>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215"/>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215"/>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215"/>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215"/>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215"/>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215"/>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215"/>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215"/>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215"/>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215"/>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215"/>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215"/>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215"/>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215"/>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215"/>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215"/>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215"/>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215"/>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215"/>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215"/>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215"/>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215"/>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215"/>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215"/>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215"/>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215"/>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215"/>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215"/>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215"/>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215"/>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215"/>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215"/>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215"/>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215"/>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215"/>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215"/>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215"/>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215"/>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215"/>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215"/>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215"/>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215"/>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215"/>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215"/>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215"/>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215"/>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215"/>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215"/>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215"/>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215"/>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215"/>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215"/>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215"/>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215"/>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215"/>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215"/>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215"/>
      <c r="Q235" s="2174"/>
      <c r="R235" s="2174"/>
      <c r="S235" s="2174"/>
      <c r="T235" s="2174"/>
      <c r="U235" s="2174"/>
      <c r="V235" s="2174"/>
      <c r="W235" s="2174"/>
      <c r="X235" s="2174"/>
      <c r="Y235" s="2174"/>
      <c r="Z235" s="2174"/>
      <c r="AA235" s="2174"/>
      <c r="AB235" s="2174"/>
      <c r="AC235" s="2174"/>
    </row>
    <row r="236" spans="1:29">
      <c r="A236" s="2174"/>
      <c r="B236" s="2174"/>
      <c r="C236" s="2174"/>
      <c r="D236" s="2174"/>
      <c r="E236" s="2174"/>
      <c r="F236" s="2174"/>
      <c r="G236" s="2174"/>
      <c r="H236" s="2174"/>
      <c r="I236" s="2174"/>
      <c r="J236" s="2174"/>
      <c r="K236" s="2175"/>
      <c r="L236" s="2176"/>
      <c r="M236" s="2174"/>
      <c r="N236" s="2174"/>
      <c r="O236" s="2174"/>
      <c r="P236" s="2215"/>
      <c r="Q236" s="2174"/>
      <c r="R236" s="2174"/>
      <c r="S236" s="2174"/>
      <c r="T236" s="2174"/>
      <c r="U236" s="2174"/>
      <c r="V236" s="2174"/>
      <c r="W236" s="2174"/>
      <c r="X236" s="2174"/>
      <c r="Y236" s="2174"/>
      <c r="Z236" s="2174"/>
      <c r="AA236" s="2174"/>
      <c r="AB236" s="2174"/>
      <c r="AC236" s="2174"/>
    </row>
    <row r="237" spans="1:29">
      <c r="A237" s="2174"/>
      <c r="B237" s="2174"/>
      <c r="C237" s="2174"/>
      <c r="D237" s="2174"/>
      <c r="E237" s="2174"/>
      <c r="F237" s="2174"/>
      <c r="G237" s="2174"/>
      <c r="H237" s="2174"/>
      <c r="I237" s="2174"/>
      <c r="J237" s="2174"/>
      <c r="K237" s="2175"/>
      <c r="L237" s="2176"/>
      <c r="M237" s="2174"/>
      <c r="N237" s="2174"/>
      <c r="O237" s="2174"/>
      <c r="P237" s="2215"/>
      <c r="Q237" s="2174"/>
      <c r="R237" s="2174"/>
      <c r="S237" s="2174"/>
      <c r="T237" s="2174"/>
      <c r="U237" s="2174"/>
      <c r="V237" s="2174"/>
      <c r="W237" s="2174"/>
      <c r="X237" s="2174"/>
      <c r="Y237" s="2174"/>
      <c r="Z237" s="2174"/>
      <c r="AA237" s="2174"/>
      <c r="AB237" s="2174"/>
      <c r="AC237" s="2174"/>
    </row>
    <row r="238" spans="1:29">
      <c r="A238" s="2174"/>
      <c r="B238" s="2174"/>
      <c r="C238" s="2174"/>
      <c r="D238" s="2174"/>
      <c r="E238" s="2174"/>
      <c r="F238" s="2174"/>
      <c r="G238" s="2174"/>
      <c r="H238" s="2174"/>
      <c r="I238" s="2174"/>
      <c r="J238" s="2174"/>
      <c r="K238" s="2175"/>
      <c r="L238" s="2176"/>
      <c r="M238" s="2174"/>
      <c r="N238" s="2174"/>
      <c r="O238" s="2174"/>
      <c r="P238" s="2215"/>
      <c r="Q238" s="2174"/>
      <c r="R238" s="2174"/>
      <c r="S238" s="2174"/>
      <c r="T238" s="2174"/>
      <c r="U238" s="2174"/>
      <c r="V238" s="2174"/>
      <c r="W238" s="2174"/>
      <c r="X238" s="2174"/>
      <c r="Y238" s="2174"/>
      <c r="Z238" s="2174"/>
      <c r="AA238" s="2174"/>
      <c r="AB238" s="2174"/>
      <c r="AC238" s="2174"/>
    </row>
    <row r="239" spans="1:29">
      <c r="A239" s="2174"/>
      <c r="B239" s="2174"/>
      <c r="C239" s="2174"/>
      <c r="D239" s="2174"/>
      <c r="E239" s="2174"/>
      <c r="F239" s="2174"/>
      <c r="G239" s="2174"/>
      <c r="H239" s="2174"/>
      <c r="I239" s="2174"/>
      <c r="J239" s="2174"/>
      <c r="K239" s="2175"/>
      <c r="L239" s="2176"/>
      <c r="M239" s="2174"/>
      <c r="N239" s="2174"/>
      <c r="O239" s="2174"/>
      <c r="P239" s="2215"/>
      <c r="Q239" s="2174"/>
      <c r="R239" s="2174"/>
      <c r="S239" s="2174"/>
      <c r="T239" s="2174"/>
      <c r="U239" s="2174"/>
      <c r="V239" s="2174"/>
      <c r="W239" s="2174"/>
      <c r="X239" s="2174"/>
      <c r="Y239" s="2174"/>
      <c r="Z239" s="2174"/>
      <c r="AA239" s="2174"/>
      <c r="AB239" s="2174"/>
      <c r="AC239" s="2174"/>
    </row>
    <row r="240" spans="1:29">
      <c r="A240" s="2174"/>
      <c r="B240" s="2174"/>
      <c r="C240" s="2174"/>
      <c r="D240" s="2174"/>
      <c r="E240" s="2174"/>
      <c r="F240" s="2174"/>
      <c r="G240" s="2174"/>
      <c r="H240" s="2174"/>
      <c r="I240" s="2174"/>
      <c r="J240" s="2174"/>
      <c r="K240" s="2175"/>
      <c r="L240" s="2176"/>
      <c r="M240" s="2174"/>
      <c r="N240" s="2174"/>
      <c r="O240" s="2174"/>
      <c r="P240" s="2215"/>
      <c r="Q240" s="2174"/>
      <c r="R240" s="2174"/>
      <c r="S240" s="2174"/>
      <c r="T240" s="2174"/>
      <c r="U240" s="2174"/>
      <c r="V240" s="2174"/>
      <c r="W240" s="2174"/>
      <c r="X240" s="2174"/>
      <c r="Y240" s="2174"/>
      <c r="Z240" s="2174"/>
      <c r="AA240" s="2174"/>
      <c r="AB240" s="2174"/>
      <c r="AC240" s="2174"/>
    </row>
    <row r="241" spans="1:29">
      <c r="A241" s="2174"/>
      <c r="B241" s="2174"/>
      <c r="C241" s="2174"/>
      <c r="D241" s="2174"/>
      <c r="E241" s="2174"/>
      <c r="F241" s="2174"/>
      <c r="G241" s="2174"/>
      <c r="H241" s="2174"/>
      <c r="I241" s="2174"/>
      <c r="J241" s="2174"/>
      <c r="K241" s="2175"/>
      <c r="L241" s="2176"/>
      <c r="M241" s="2174"/>
      <c r="N241" s="2174"/>
      <c r="O241" s="2174"/>
      <c r="P241" s="2215"/>
      <c r="Q241" s="2174"/>
      <c r="R241" s="2174"/>
      <c r="S241" s="2174"/>
      <c r="T241" s="2174"/>
      <c r="U241" s="2174"/>
      <c r="V241" s="2174"/>
      <c r="W241" s="2174"/>
      <c r="X241" s="2174"/>
      <c r="Y241" s="2174"/>
      <c r="Z241" s="2174"/>
      <c r="AA241" s="2174"/>
      <c r="AB241" s="2174"/>
      <c r="AC241" s="2174"/>
    </row>
    <row r="242" spans="1:29">
      <c r="A242" s="2174"/>
      <c r="B242" s="2174"/>
      <c r="C242" s="2174"/>
      <c r="D242" s="2174"/>
      <c r="E242" s="2174"/>
      <c r="F242" s="2174"/>
      <c r="G242" s="2174"/>
      <c r="H242" s="2174"/>
      <c r="I242" s="2174"/>
      <c r="J242" s="2174"/>
      <c r="K242" s="2175"/>
      <c r="L242" s="2176"/>
      <c r="M242" s="2174"/>
      <c r="N242" s="2174"/>
      <c r="O242" s="2174"/>
      <c r="P242" s="2215"/>
      <c r="Q242" s="2174"/>
      <c r="R242" s="2174"/>
      <c r="S242" s="2174"/>
      <c r="T242" s="2174"/>
      <c r="U242" s="2174"/>
      <c r="V242" s="2174"/>
      <c r="W242" s="2174"/>
      <c r="X242" s="2174"/>
      <c r="Y242" s="2174"/>
      <c r="Z242" s="2174"/>
      <c r="AA242" s="2174"/>
      <c r="AB242" s="2174"/>
      <c r="AC242" s="2174"/>
    </row>
    <row r="243" spans="1:29">
      <c r="A243" s="2174"/>
      <c r="B243" s="2174"/>
      <c r="C243" s="2174"/>
      <c r="D243" s="2174"/>
      <c r="E243" s="2174"/>
      <c r="F243" s="2174"/>
      <c r="G243" s="2174"/>
      <c r="H243" s="2174"/>
      <c r="I243" s="2174"/>
      <c r="J243" s="2174"/>
      <c r="K243" s="2175"/>
      <c r="L243" s="2176"/>
      <c r="M243" s="2174"/>
      <c r="N243" s="2174"/>
      <c r="O243" s="2174"/>
      <c r="P243" s="2215"/>
      <c r="Q243" s="2174"/>
      <c r="R243" s="2174"/>
      <c r="S243" s="2174"/>
      <c r="T243" s="2174"/>
      <c r="U243" s="2174"/>
      <c r="V243" s="2174"/>
      <c r="W243" s="2174"/>
      <c r="X243" s="2174"/>
      <c r="Y243" s="2174"/>
      <c r="Z243" s="2174"/>
      <c r="AA243" s="2174"/>
      <c r="AB243" s="2174"/>
      <c r="AC243" s="2174"/>
    </row>
    <row r="244" spans="1:29">
      <c r="A244" s="2174"/>
      <c r="B244" s="2174"/>
      <c r="C244" s="2174"/>
      <c r="D244" s="2174"/>
      <c r="E244" s="2174"/>
      <c r="F244" s="2174"/>
      <c r="G244" s="2174"/>
      <c r="H244" s="2174"/>
      <c r="I244" s="2174"/>
      <c r="J244" s="2174"/>
      <c r="K244" s="2175"/>
      <c r="L244" s="2176"/>
      <c r="M244" s="2174"/>
      <c r="N244" s="2174"/>
      <c r="O244" s="2174"/>
      <c r="P244" s="2215"/>
      <c r="Q244" s="2174"/>
      <c r="R244" s="2174"/>
      <c r="S244" s="2174"/>
      <c r="T244" s="2174"/>
      <c r="U244" s="2174"/>
      <c r="V244" s="2174"/>
      <c r="W244" s="2174"/>
      <c r="X244" s="2174"/>
      <c r="Y244" s="2174"/>
      <c r="Z244" s="2174"/>
      <c r="AA244" s="2174"/>
      <c r="AB244" s="2174"/>
      <c r="AC244" s="2174"/>
    </row>
    <row r="245" spans="1:29">
      <c r="A245" s="2174"/>
      <c r="B245" s="2174"/>
      <c r="C245" s="2174"/>
      <c r="D245" s="2174"/>
      <c r="E245" s="2174"/>
      <c r="F245" s="2174"/>
      <c r="G245" s="2174"/>
      <c r="H245" s="2174"/>
      <c r="I245" s="2174"/>
      <c r="J245" s="2174"/>
      <c r="K245" s="2175"/>
      <c r="L245" s="2176"/>
      <c r="M245" s="2174"/>
      <c r="N245" s="2174"/>
      <c r="O245" s="2174"/>
      <c r="P245" s="2215"/>
      <c r="Q245" s="2174"/>
      <c r="R245" s="2174"/>
      <c r="S245" s="2174"/>
      <c r="T245" s="2174"/>
      <c r="U245" s="2174"/>
      <c r="V245" s="2174"/>
      <c r="W245" s="2174"/>
      <c r="X245" s="2174"/>
      <c r="Y245" s="2174"/>
      <c r="Z245" s="2174"/>
      <c r="AA245" s="2174"/>
      <c r="AB245" s="2174"/>
      <c r="AC245" s="2174"/>
    </row>
    <row r="246" spans="1:29">
      <c r="A246" s="2174"/>
      <c r="B246" s="2174"/>
      <c r="C246" s="2174"/>
      <c r="D246" s="2174"/>
      <c r="E246" s="2174"/>
      <c r="F246" s="2174"/>
      <c r="G246" s="2174"/>
      <c r="H246" s="2174"/>
      <c r="I246" s="2174"/>
      <c r="J246" s="2174"/>
      <c r="K246" s="2175"/>
      <c r="L246" s="2176"/>
      <c r="M246" s="2174"/>
      <c r="N246" s="2174"/>
      <c r="O246" s="2174"/>
      <c r="P246" s="2215"/>
      <c r="Q246" s="2174"/>
      <c r="R246" s="2174"/>
      <c r="S246" s="2174"/>
      <c r="T246" s="2174"/>
      <c r="U246" s="2174"/>
      <c r="V246" s="2174"/>
      <c r="W246" s="2174"/>
      <c r="X246" s="2174"/>
      <c r="Y246" s="2174"/>
      <c r="Z246" s="2174"/>
      <c r="AA246" s="2174"/>
      <c r="AB246" s="2174"/>
      <c r="AC246" s="2174"/>
    </row>
    <row r="247" spans="1:29">
      <c r="A247" s="2174"/>
      <c r="B247" s="2174"/>
      <c r="C247" s="2174"/>
      <c r="D247" s="2174"/>
      <c r="E247" s="2174"/>
      <c r="F247" s="2174"/>
      <c r="G247" s="2174"/>
      <c r="H247" s="2174"/>
      <c r="I247" s="2174"/>
      <c r="J247" s="2174"/>
      <c r="K247" s="2175"/>
      <c r="L247" s="2176"/>
      <c r="M247" s="2174"/>
      <c r="N247" s="2174"/>
      <c r="O247" s="2174"/>
      <c r="P247" s="2215"/>
      <c r="Q247" s="2174"/>
      <c r="R247" s="2174"/>
      <c r="S247" s="2174"/>
      <c r="T247" s="2174"/>
      <c r="U247" s="2174"/>
      <c r="V247" s="2174"/>
      <c r="W247" s="2174"/>
      <c r="X247" s="2174"/>
      <c r="Y247" s="2174"/>
      <c r="Z247" s="2174"/>
      <c r="AA247" s="2174"/>
      <c r="AB247" s="2174"/>
      <c r="AC247" s="2174"/>
    </row>
    <row r="248" spans="1:29">
      <c r="A248" s="2174"/>
      <c r="B248" s="2174"/>
      <c r="C248" s="2174"/>
      <c r="D248" s="2174"/>
      <c r="E248" s="2174"/>
      <c r="F248" s="2174"/>
      <c r="G248" s="2174"/>
      <c r="H248" s="2174"/>
      <c r="I248" s="2174"/>
      <c r="J248" s="2174"/>
      <c r="K248" s="2175"/>
      <c r="L248" s="2176"/>
      <c r="M248" s="2174"/>
      <c r="N248" s="2174"/>
      <c r="O248" s="2174"/>
      <c r="P248" s="2215"/>
      <c r="Q248" s="2174"/>
      <c r="R248" s="2174"/>
      <c r="S248" s="2174"/>
      <c r="T248" s="2174"/>
      <c r="U248" s="2174"/>
      <c r="V248" s="2174"/>
      <c r="W248" s="2174"/>
      <c r="X248" s="2174"/>
      <c r="Y248" s="2174"/>
      <c r="Z248" s="2174"/>
      <c r="AA248" s="2174"/>
      <c r="AB248" s="2174"/>
      <c r="AC248" s="2174"/>
    </row>
    <row r="249" spans="1:29">
      <c r="A249" s="2174"/>
      <c r="B249" s="2174"/>
      <c r="C249" s="2174"/>
      <c r="D249" s="2174"/>
      <c r="E249" s="2174"/>
      <c r="F249" s="2174"/>
      <c r="G249" s="2174"/>
      <c r="H249" s="2174"/>
      <c r="I249" s="2174"/>
      <c r="J249" s="2174"/>
      <c r="K249" s="2175"/>
      <c r="L249" s="2176"/>
      <c r="M249" s="2174"/>
      <c r="N249" s="2174"/>
      <c r="O249" s="2174"/>
      <c r="P249" s="2215"/>
      <c r="Q249" s="2174"/>
      <c r="R249" s="2174"/>
      <c r="S249" s="2174"/>
      <c r="T249" s="2174"/>
      <c r="U249" s="2174"/>
      <c r="V249" s="2174"/>
      <c r="W249" s="2174"/>
      <c r="X249" s="2174"/>
      <c r="Y249" s="2174"/>
      <c r="Z249" s="2174"/>
      <c r="AA249" s="2174"/>
      <c r="AB249" s="2174"/>
      <c r="AC249" s="2174"/>
    </row>
    <row r="250" spans="1:29">
      <c r="A250" s="2174"/>
      <c r="B250" s="2174"/>
      <c r="C250" s="2174"/>
      <c r="D250" s="2174"/>
      <c r="E250" s="2174"/>
      <c r="F250" s="2174"/>
      <c r="G250" s="2174"/>
      <c r="H250" s="2174"/>
      <c r="I250" s="2174"/>
      <c r="J250" s="2174"/>
      <c r="K250" s="2175"/>
      <c r="L250" s="2176"/>
      <c r="M250" s="2174"/>
      <c r="N250" s="2174"/>
      <c r="O250" s="2174"/>
      <c r="P250" s="2215"/>
      <c r="Q250" s="2174"/>
      <c r="R250" s="2174"/>
      <c r="S250" s="2174"/>
      <c r="T250" s="2174"/>
      <c r="U250" s="2174"/>
      <c r="V250" s="2174"/>
      <c r="W250" s="2174"/>
      <c r="X250" s="2174"/>
      <c r="Y250" s="2174"/>
      <c r="Z250" s="2174"/>
      <c r="AA250" s="2174"/>
      <c r="AB250" s="2174"/>
      <c r="AC250" s="2174"/>
    </row>
    <row r="251" spans="1:29">
      <c r="A251" s="2174"/>
      <c r="B251" s="2174"/>
      <c r="C251" s="2174"/>
      <c r="D251" s="2174"/>
      <c r="E251" s="2174"/>
      <c r="F251" s="2174"/>
      <c r="G251" s="2174"/>
      <c r="H251" s="2174"/>
      <c r="I251" s="2174"/>
      <c r="J251" s="2174"/>
      <c r="K251" s="2175"/>
      <c r="L251" s="2176"/>
      <c r="M251" s="2174"/>
      <c r="N251" s="2174"/>
      <c r="O251" s="2174"/>
      <c r="P251" s="2215"/>
      <c r="Q251" s="2174"/>
      <c r="R251" s="2174"/>
      <c r="S251" s="2174"/>
      <c r="T251" s="2174"/>
      <c r="U251" s="2174"/>
      <c r="V251" s="2174"/>
      <c r="W251" s="2174"/>
      <c r="X251" s="2174"/>
      <c r="Y251" s="2174"/>
      <c r="Z251" s="2174"/>
      <c r="AA251" s="2174"/>
      <c r="AB251" s="2174"/>
      <c r="AC251" s="2174"/>
    </row>
    <row r="252" spans="1:29">
      <c r="A252" s="2174"/>
      <c r="B252" s="2174"/>
      <c r="C252" s="2174"/>
      <c r="D252" s="2174"/>
      <c r="E252" s="2174"/>
      <c r="F252" s="2174"/>
      <c r="G252" s="2174"/>
      <c r="H252" s="2174"/>
      <c r="I252" s="2174"/>
      <c r="J252" s="2174"/>
      <c r="K252" s="2175"/>
      <c r="L252" s="2176"/>
      <c r="M252" s="2174"/>
      <c r="N252" s="2174"/>
      <c r="O252" s="2174"/>
      <c r="P252" s="2215"/>
      <c r="Q252" s="2174"/>
      <c r="R252" s="2174"/>
      <c r="S252" s="2174"/>
      <c r="T252" s="2174"/>
      <c r="U252" s="2174"/>
      <c r="V252" s="2174"/>
      <c r="W252" s="2174"/>
      <c r="X252" s="2174"/>
      <c r="Y252" s="2174"/>
      <c r="Z252" s="2174"/>
      <c r="AA252" s="2174"/>
      <c r="AB252" s="2174"/>
      <c r="AC252" s="2174"/>
    </row>
    <row r="253" spans="1:29">
      <c r="A253" s="2174"/>
      <c r="B253" s="2174"/>
      <c r="C253" s="2174"/>
      <c r="D253" s="2174"/>
      <c r="E253" s="2174"/>
      <c r="F253" s="2174"/>
      <c r="G253" s="2174"/>
      <c r="H253" s="2174"/>
      <c r="I253" s="2174"/>
      <c r="J253" s="2174"/>
      <c r="K253" s="2175"/>
      <c r="L253" s="2176"/>
      <c r="M253" s="2174"/>
      <c r="N253" s="2174"/>
      <c r="O253" s="2174"/>
      <c r="P253" s="2215"/>
      <c r="Q253" s="2174"/>
      <c r="R253" s="2174"/>
      <c r="S253" s="2174"/>
      <c r="T253" s="2174"/>
      <c r="U253" s="2174"/>
      <c r="V253" s="2174"/>
      <c r="W253" s="2174"/>
      <c r="X253" s="2174"/>
      <c r="Y253" s="2174"/>
      <c r="Z253" s="2174"/>
      <c r="AA253" s="2174"/>
      <c r="AB253" s="2174"/>
      <c r="AC253" s="2174"/>
    </row>
    <row r="254" spans="1:29">
      <c r="A254" s="2174"/>
      <c r="B254" s="2174"/>
      <c r="C254" s="2174"/>
      <c r="D254" s="2174"/>
      <c r="E254" s="2174"/>
      <c r="F254" s="2174"/>
      <c r="G254" s="2174"/>
      <c r="H254" s="2174"/>
      <c r="I254" s="2174"/>
      <c r="J254" s="2174"/>
      <c r="K254" s="2175"/>
      <c r="L254" s="2176"/>
      <c r="M254" s="2174"/>
      <c r="N254" s="2174"/>
      <c r="O254" s="2174"/>
      <c r="P254" s="2215"/>
      <c r="Q254" s="2174"/>
      <c r="R254" s="2174"/>
      <c r="S254" s="2174"/>
      <c r="T254" s="2174"/>
      <c r="U254" s="2174"/>
      <c r="V254" s="2174"/>
      <c r="W254" s="2174"/>
      <c r="X254" s="2174"/>
      <c r="Y254" s="2174"/>
      <c r="Z254" s="2174"/>
      <c r="AA254" s="2174"/>
      <c r="AB254" s="2174"/>
      <c r="AC254" s="2174"/>
    </row>
    <row r="255" spans="1:29">
      <c r="A255" s="2174"/>
      <c r="B255" s="2174"/>
      <c r="C255" s="2174"/>
      <c r="D255" s="2174"/>
      <c r="E255" s="2174"/>
      <c r="F255" s="2174"/>
      <c r="G255" s="2174"/>
      <c r="H255" s="2174"/>
      <c r="I255" s="2174"/>
      <c r="J255" s="2174"/>
      <c r="K255" s="2175"/>
      <c r="L255" s="2176"/>
      <c r="M255" s="2174"/>
      <c r="N255" s="2174"/>
      <c r="O255" s="2174"/>
      <c r="P255" s="2215"/>
      <c r="Q255" s="2174"/>
      <c r="R255" s="2174"/>
      <c r="S255" s="2174"/>
      <c r="T255" s="2174"/>
      <c r="U255" s="2174"/>
      <c r="V255" s="2174"/>
      <c r="W255" s="2174"/>
      <c r="X255" s="2174"/>
      <c r="Y255" s="2174"/>
      <c r="Z255" s="2174"/>
      <c r="AA255" s="2174"/>
      <c r="AB255" s="2174"/>
      <c r="AC255" s="2174"/>
    </row>
    <row r="256" spans="1:29">
      <c r="A256" s="2174"/>
      <c r="B256" s="2174"/>
      <c r="C256" s="2174"/>
      <c r="D256" s="2174"/>
      <c r="E256" s="2174"/>
      <c r="F256" s="2174"/>
      <c r="G256" s="2174"/>
      <c r="H256" s="2174"/>
      <c r="I256" s="2174"/>
      <c r="J256" s="2174"/>
      <c r="K256" s="2175"/>
      <c r="L256" s="2176"/>
      <c r="M256" s="2174"/>
      <c r="N256" s="2174"/>
      <c r="O256" s="2174"/>
      <c r="P256" s="2215"/>
      <c r="Q256" s="2174"/>
      <c r="R256" s="2174"/>
      <c r="S256" s="2174"/>
      <c r="T256" s="2174"/>
      <c r="U256" s="2174"/>
      <c r="V256" s="2174"/>
      <c r="W256" s="2174"/>
      <c r="X256" s="2174"/>
      <c r="Y256" s="2174"/>
      <c r="Z256" s="2174"/>
      <c r="AA256" s="2174"/>
      <c r="AB256" s="2174"/>
      <c r="AC256" s="2174"/>
    </row>
    <row r="257" spans="1:29">
      <c r="A257" s="2174"/>
      <c r="B257" s="2174"/>
      <c r="C257" s="2174"/>
      <c r="D257" s="2174"/>
      <c r="E257" s="2174"/>
      <c r="F257" s="2174"/>
      <c r="G257" s="2174"/>
      <c r="H257" s="2174"/>
      <c r="I257" s="2174"/>
      <c r="J257" s="2174"/>
      <c r="K257" s="2175"/>
      <c r="L257" s="2176"/>
      <c r="M257" s="2174"/>
      <c r="N257" s="2174"/>
      <c r="O257" s="2174"/>
      <c r="P257" s="2215"/>
      <c r="Q257" s="2174"/>
      <c r="R257" s="2174"/>
      <c r="S257" s="2174"/>
      <c r="T257" s="2174"/>
      <c r="U257" s="2174"/>
      <c r="V257" s="2174"/>
      <c r="W257" s="2174"/>
      <c r="X257" s="2174"/>
      <c r="Y257" s="2174"/>
      <c r="Z257" s="2174"/>
      <c r="AA257" s="2174"/>
      <c r="AB257" s="2174"/>
      <c r="AC257" s="2174"/>
    </row>
    <row r="258" spans="1:29">
      <c r="A258" s="2174"/>
      <c r="B258" s="2174"/>
      <c r="C258" s="2174"/>
      <c r="D258" s="2174"/>
      <c r="E258" s="2174"/>
      <c r="F258" s="2174"/>
      <c r="G258" s="2174"/>
      <c r="H258" s="2174"/>
      <c r="I258" s="2174"/>
      <c r="J258" s="2174"/>
      <c r="K258" s="2175"/>
      <c r="L258" s="2176"/>
      <c r="M258" s="2174"/>
      <c r="N258" s="2174"/>
      <c r="O258" s="2174"/>
      <c r="P258" s="2215"/>
      <c r="Q258" s="2174"/>
      <c r="R258" s="2174"/>
      <c r="S258" s="2174"/>
      <c r="T258" s="2174"/>
      <c r="U258" s="2174"/>
      <c r="V258" s="2174"/>
      <c r="W258" s="2174"/>
      <c r="X258" s="2174"/>
      <c r="Y258" s="2174"/>
      <c r="Z258" s="2174"/>
      <c r="AA258" s="2174"/>
      <c r="AB258" s="2174"/>
      <c r="AC258" s="2174"/>
    </row>
    <row r="259" spans="1:29">
      <c r="A259" s="2174"/>
      <c r="B259" s="2174"/>
      <c r="C259" s="2174"/>
      <c r="D259" s="2174"/>
      <c r="E259" s="2174"/>
      <c r="F259" s="2174"/>
      <c r="G259" s="2174"/>
      <c r="H259" s="2174"/>
      <c r="I259" s="2174"/>
      <c r="J259" s="2174"/>
      <c r="K259" s="2175"/>
      <c r="L259" s="2176"/>
      <c r="M259" s="2174"/>
      <c r="N259" s="2174"/>
      <c r="O259" s="2174"/>
      <c r="P259" s="2215"/>
      <c r="Q259" s="2174"/>
      <c r="R259" s="2174"/>
      <c r="S259" s="2174"/>
      <c r="T259" s="2174"/>
      <c r="U259" s="2174"/>
      <c r="V259" s="2174"/>
      <c r="W259" s="2174"/>
      <c r="X259" s="2174"/>
      <c r="Y259" s="2174"/>
      <c r="Z259" s="2174"/>
      <c r="AA259" s="2174"/>
      <c r="AB259" s="2174"/>
      <c r="AC259" s="2174"/>
    </row>
    <row r="260" spans="1:29">
      <c r="A260" s="2174"/>
      <c r="B260" s="2174"/>
      <c r="C260" s="2174"/>
      <c r="D260" s="2174"/>
      <c r="E260" s="2174"/>
      <c r="F260" s="2174"/>
      <c r="G260" s="2174"/>
      <c r="H260" s="2174"/>
      <c r="I260" s="2174"/>
      <c r="J260" s="2174"/>
      <c r="K260" s="2175"/>
      <c r="L260" s="2176"/>
      <c r="M260" s="2174"/>
      <c r="N260" s="2174"/>
      <c r="O260" s="2174"/>
      <c r="P260" s="2215"/>
      <c r="Q260" s="2174"/>
      <c r="R260" s="2174"/>
      <c r="S260" s="2174"/>
      <c r="T260" s="2174"/>
      <c r="U260" s="2174"/>
      <c r="V260" s="2174"/>
      <c r="W260" s="2174"/>
      <c r="X260" s="2174"/>
      <c r="Y260" s="2174"/>
      <c r="Z260" s="2174"/>
      <c r="AA260" s="2174"/>
      <c r="AB260" s="2174"/>
      <c r="AC260" s="2174"/>
    </row>
    <row r="261" spans="1:29">
      <c r="A261" s="2174"/>
      <c r="B261" s="2174"/>
      <c r="C261" s="2174"/>
      <c r="D261" s="2174"/>
      <c r="E261" s="2174"/>
      <c r="F261" s="2174"/>
      <c r="G261" s="2174"/>
      <c r="H261" s="2174"/>
      <c r="I261" s="2174"/>
      <c r="J261" s="2174"/>
      <c r="K261" s="2175"/>
      <c r="L261" s="2176"/>
      <c r="M261" s="2174"/>
      <c r="N261" s="2174"/>
      <c r="O261" s="2174"/>
      <c r="P261" s="2215"/>
      <c r="Q261" s="2174"/>
      <c r="R261" s="2174"/>
      <c r="S261" s="2174"/>
      <c r="T261" s="2174"/>
      <c r="U261" s="2174"/>
      <c r="V261" s="2174"/>
      <c r="W261" s="2174"/>
      <c r="X261" s="2174"/>
      <c r="Y261" s="2174"/>
      <c r="Z261" s="2174"/>
      <c r="AA261" s="2174"/>
      <c r="AB261" s="2174"/>
      <c r="AC261" s="2174"/>
    </row>
    <row r="262" spans="1:29">
      <c r="A262" s="2174"/>
      <c r="B262" s="2174"/>
      <c r="C262" s="2174"/>
      <c r="D262" s="2174"/>
      <c r="E262" s="2174"/>
      <c r="F262" s="2174"/>
      <c r="G262" s="2174"/>
      <c r="H262" s="2174"/>
      <c r="I262" s="2174"/>
      <c r="J262" s="2174"/>
      <c r="K262" s="2175"/>
      <c r="L262" s="2176"/>
      <c r="M262" s="2174"/>
      <c r="N262" s="2174"/>
      <c r="O262" s="2174"/>
      <c r="P262" s="2215"/>
      <c r="Q262" s="2174"/>
      <c r="R262" s="2174"/>
      <c r="S262" s="2174"/>
      <c r="T262" s="2174"/>
      <c r="U262" s="2174"/>
      <c r="V262" s="2174"/>
      <c r="W262" s="2174"/>
      <c r="X262" s="2174"/>
      <c r="Y262" s="2174"/>
      <c r="Z262" s="2174"/>
      <c r="AA262" s="2174"/>
      <c r="AB262" s="2174"/>
      <c r="AC262" s="2174"/>
    </row>
    <row r="263" spans="1:29">
      <c r="A263" s="2174"/>
      <c r="B263" s="2174"/>
      <c r="C263" s="2174"/>
      <c r="D263" s="2174"/>
      <c r="E263" s="2174"/>
      <c r="F263" s="2174"/>
      <c r="G263" s="2174"/>
      <c r="H263" s="2174"/>
      <c r="I263" s="2174"/>
      <c r="J263" s="2174"/>
      <c r="K263" s="2175"/>
      <c r="L263" s="2176"/>
      <c r="M263" s="2174"/>
      <c r="N263" s="2174"/>
      <c r="O263" s="2174"/>
      <c r="P263" s="2215"/>
      <c r="Q263" s="2174"/>
      <c r="R263" s="2174"/>
      <c r="S263" s="2174"/>
      <c r="T263" s="2174"/>
      <c r="U263" s="2174"/>
      <c r="V263" s="2174"/>
      <c r="W263" s="2174"/>
      <c r="X263" s="2174"/>
      <c r="Y263" s="2174"/>
      <c r="Z263" s="2174"/>
      <c r="AA263" s="2174"/>
      <c r="AB263" s="2174"/>
      <c r="AC263" s="2174"/>
    </row>
    <row r="264" spans="1:29">
      <c r="A264" s="2174"/>
      <c r="B264" s="2174"/>
      <c r="C264" s="2174"/>
      <c r="D264" s="2174"/>
      <c r="E264" s="2174"/>
      <c r="F264" s="2174"/>
      <c r="G264" s="2174"/>
      <c r="H264" s="2174"/>
      <c r="I264" s="2174"/>
      <c r="J264" s="2174"/>
      <c r="K264" s="2175"/>
      <c r="L264" s="2176"/>
      <c r="M264" s="2174"/>
      <c r="N264" s="2174"/>
      <c r="O264" s="2174"/>
      <c r="P264" s="2215"/>
      <c r="Q264" s="2174"/>
      <c r="R264" s="2174"/>
      <c r="S264" s="2174"/>
      <c r="T264" s="2174"/>
      <c r="U264" s="2174"/>
      <c r="V264" s="2174"/>
      <c r="W264" s="2174"/>
      <c r="X264" s="2174"/>
      <c r="Y264" s="2174"/>
      <c r="Z264" s="2174"/>
      <c r="AA264" s="2174"/>
      <c r="AB264" s="2174"/>
      <c r="AC264" s="2174"/>
    </row>
    <row r="265" spans="1:29">
      <c r="A265" s="2174"/>
      <c r="B265" s="2174"/>
      <c r="C265" s="2174"/>
      <c r="D265" s="2174"/>
      <c r="E265" s="2174"/>
      <c r="F265" s="2174"/>
      <c r="G265" s="2174"/>
      <c r="H265" s="2174"/>
      <c r="I265" s="2174"/>
      <c r="J265" s="2174"/>
      <c r="K265" s="2175"/>
      <c r="L265" s="2176"/>
      <c r="M265" s="2174"/>
      <c r="N265" s="2174"/>
      <c r="O265" s="2174"/>
      <c r="P265" s="2215"/>
      <c r="Q265" s="2174"/>
      <c r="R265" s="2174"/>
      <c r="S265" s="2174"/>
      <c r="T265" s="2174"/>
      <c r="U265" s="2174"/>
      <c r="V265" s="2174"/>
      <c r="W265" s="2174"/>
      <c r="X265" s="2174"/>
      <c r="Y265" s="2174"/>
      <c r="Z265" s="2174"/>
      <c r="AA265" s="2174"/>
      <c r="AB265" s="2174"/>
      <c r="AC265" s="2174"/>
    </row>
    <row r="266" spans="1:29">
      <c r="A266" s="2174"/>
      <c r="B266" s="2174"/>
      <c r="C266" s="2174"/>
      <c r="D266" s="2174"/>
      <c r="E266" s="2174"/>
      <c r="F266" s="2174"/>
      <c r="G266" s="2174"/>
      <c r="H266" s="2174"/>
      <c r="I266" s="2174"/>
      <c r="J266" s="2174"/>
      <c r="K266" s="2175"/>
      <c r="L266" s="2176"/>
      <c r="M266" s="2174"/>
      <c r="N266" s="2174"/>
      <c r="O266" s="2174"/>
      <c r="P266" s="2215"/>
      <c r="Q266" s="2174"/>
      <c r="R266" s="2174"/>
      <c r="S266" s="2174"/>
      <c r="T266" s="2174"/>
      <c r="U266" s="2174"/>
      <c r="V266" s="2174"/>
      <c r="W266" s="2174"/>
      <c r="X266" s="2174"/>
      <c r="Y266" s="2174"/>
      <c r="Z266" s="2174"/>
      <c r="AA266" s="2174"/>
      <c r="AB266" s="2174"/>
      <c r="AC266" s="2174"/>
    </row>
    <row r="267" spans="1:29">
      <c r="A267" s="2174"/>
      <c r="B267" s="2174"/>
      <c r="C267" s="2174"/>
      <c r="D267" s="2174"/>
      <c r="E267" s="2174"/>
      <c r="F267" s="2174"/>
      <c r="G267" s="2174"/>
      <c r="H267" s="2174"/>
      <c r="I267" s="2174"/>
      <c r="J267" s="2174"/>
      <c r="K267" s="2175"/>
      <c r="L267" s="2176"/>
      <c r="M267" s="2174"/>
      <c r="N267" s="2174"/>
      <c r="O267" s="2174"/>
      <c r="P267" s="2215"/>
      <c r="Q267" s="2174"/>
      <c r="R267" s="2174"/>
      <c r="S267" s="2174"/>
      <c r="T267" s="2174"/>
      <c r="U267" s="2174"/>
      <c r="V267" s="2174"/>
      <c r="W267" s="2174"/>
      <c r="X267" s="2174"/>
      <c r="Y267" s="2174"/>
      <c r="Z267" s="2174"/>
      <c r="AA267" s="2174"/>
      <c r="AB267" s="2174"/>
      <c r="AC267" s="2174"/>
    </row>
    <row r="268" spans="1:29">
      <c r="A268" s="2174"/>
      <c r="B268" s="2174"/>
      <c r="C268" s="2174"/>
      <c r="D268" s="2174"/>
      <c r="E268" s="2174"/>
      <c r="F268" s="2174"/>
      <c r="G268" s="2174"/>
      <c r="H268" s="2174"/>
      <c r="I268" s="2174"/>
      <c r="J268" s="2174"/>
      <c r="K268" s="2175"/>
      <c r="L268" s="2176"/>
      <c r="M268" s="2174"/>
      <c r="N268" s="2174"/>
      <c r="O268" s="2174"/>
      <c r="P268" s="2215"/>
      <c r="Q268" s="2174"/>
      <c r="R268" s="2174"/>
      <c r="S268" s="2174"/>
      <c r="T268" s="2174"/>
      <c r="U268" s="2174"/>
      <c r="V268" s="2174"/>
      <c r="W268" s="2174"/>
      <c r="X268" s="2174"/>
      <c r="Y268" s="2174"/>
      <c r="Z268" s="2174"/>
      <c r="AA268" s="2174"/>
      <c r="AB268" s="2174"/>
      <c r="AC268" s="2174"/>
    </row>
    <row r="269" spans="1:29">
      <c r="A269" s="2174"/>
      <c r="B269" s="2174"/>
      <c r="C269" s="2174"/>
      <c r="D269" s="2174"/>
      <c r="E269" s="2174"/>
      <c r="F269" s="2174"/>
      <c r="G269" s="2174"/>
      <c r="H269" s="2174"/>
      <c r="I269" s="2174"/>
      <c r="J269" s="2174"/>
      <c r="K269" s="2175"/>
      <c r="L269" s="2176"/>
      <c r="M269" s="2174"/>
      <c r="N269" s="2174"/>
      <c r="O269" s="2174"/>
      <c r="P269" s="2215"/>
      <c r="Q269" s="2174"/>
      <c r="R269" s="2174"/>
      <c r="S269" s="2174"/>
      <c r="T269" s="2174"/>
      <c r="U269" s="2174"/>
      <c r="V269" s="2174"/>
      <c r="W269" s="2174"/>
      <c r="X269" s="2174"/>
      <c r="Y269" s="2174"/>
      <c r="Z269" s="2174"/>
      <c r="AA269" s="2174"/>
      <c r="AB269" s="2174"/>
      <c r="AC269" s="2174"/>
    </row>
    <row r="270" spans="1:29">
      <c r="A270" s="2174"/>
      <c r="B270" s="2174"/>
      <c r="C270" s="2174"/>
      <c r="D270" s="2174"/>
      <c r="E270" s="2174"/>
      <c r="F270" s="2174"/>
      <c r="G270" s="2174"/>
      <c r="H270" s="2174"/>
      <c r="I270" s="2174"/>
      <c r="J270" s="2174"/>
      <c r="K270" s="2175"/>
      <c r="L270" s="2176"/>
      <c r="M270" s="2174"/>
      <c r="N270" s="2174"/>
      <c r="O270" s="2174"/>
      <c r="P270" s="2215"/>
      <c r="Q270" s="2174"/>
      <c r="R270" s="2174"/>
      <c r="S270" s="2174"/>
      <c r="T270" s="2174"/>
      <c r="U270" s="2174"/>
      <c r="V270" s="2174"/>
      <c r="W270" s="2174"/>
      <c r="X270" s="2174"/>
      <c r="Y270" s="2174"/>
      <c r="Z270" s="2174"/>
      <c r="AA270" s="2174"/>
      <c r="AB270" s="2174"/>
      <c r="AC270" s="2174"/>
    </row>
    <row r="271" spans="1:29">
      <c r="A271" s="2174"/>
      <c r="B271" s="2174"/>
      <c r="C271" s="2174"/>
      <c r="D271" s="2174"/>
      <c r="E271" s="2174"/>
      <c r="F271" s="2174"/>
      <c r="G271" s="2174"/>
      <c r="H271" s="2174"/>
      <c r="I271" s="2174"/>
      <c r="J271" s="2174"/>
      <c r="K271" s="2175"/>
      <c r="L271" s="2176"/>
      <c r="M271" s="2174"/>
      <c r="N271" s="2174"/>
      <c r="O271" s="2174"/>
      <c r="P271" s="2215"/>
      <c r="Q271" s="2174"/>
      <c r="R271" s="2174"/>
      <c r="S271" s="2174"/>
      <c r="T271" s="2174"/>
      <c r="U271" s="2174"/>
      <c r="V271" s="2174"/>
      <c r="W271" s="2174"/>
      <c r="X271" s="2174"/>
      <c r="Y271" s="2174"/>
      <c r="Z271" s="2174"/>
      <c r="AA271" s="2174"/>
      <c r="AB271" s="2174"/>
      <c r="AC271" s="2174"/>
    </row>
    <row r="272" spans="1:29">
      <c r="A272" s="2174"/>
      <c r="B272" s="2174"/>
      <c r="C272" s="2174"/>
      <c r="D272" s="2174"/>
      <c r="E272" s="2174"/>
      <c r="F272" s="2174"/>
      <c r="G272" s="2174"/>
      <c r="H272" s="2174"/>
      <c r="I272" s="2174"/>
      <c r="J272" s="2174"/>
      <c r="K272" s="2175"/>
      <c r="L272" s="2176"/>
      <c r="M272" s="2174"/>
      <c r="N272" s="2174"/>
      <c r="O272" s="2174"/>
      <c r="P272" s="2215"/>
      <c r="Q272" s="2174"/>
      <c r="R272" s="2174"/>
      <c r="S272" s="2174"/>
      <c r="T272" s="2174"/>
      <c r="U272" s="2174"/>
      <c r="V272" s="2174"/>
      <c r="W272" s="2174"/>
      <c r="X272" s="2174"/>
      <c r="Y272" s="2174"/>
      <c r="Z272" s="2174"/>
      <c r="AA272" s="2174"/>
      <c r="AB272" s="2174"/>
      <c r="AC272" s="2174"/>
    </row>
    <row r="273" spans="1:29">
      <c r="A273" s="2174"/>
      <c r="B273" s="2174"/>
      <c r="C273" s="2174"/>
      <c r="D273" s="2174"/>
      <c r="E273" s="2174"/>
      <c r="F273" s="2174"/>
      <c r="G273" s="2174"/>
      <c r="H273" s="2174"/>
      <c r="I273" s="2174"/>
      <c r="J273" s="2174"/>
      <c r="K273" s="2175"/>
      <c r="L273" s="2176"/>
      <c r="M273" s="2174"/>
      <c r="N273" s="2174"/>
      <c r="O273" s="2174"/>
      <c r="P273" s="2215"/>
      <c r="Q273" s="2174"/>
      <c r="R273" s="2174"/>
      <c r="S273" s="2174"/>
      <c r="T273" s="2174"/>
      <c r="U273" s="2174"/>
      <c r="V273" s="2174"/>
      <c r="W273" s="2174"/>
      <c r="X273" s="2174"/>
      <c r="Y273" s="2174"/>
      <c r="Z273" s="2174"/>
      <c r="AA273" s="2174"/>
      <c r="AB273" s="2174"/>
      <c r="AC273" s="2174"/>
    </row>
    <row r="274" spans="1:29">
      <c r="A274" s="2174"/>
      <c r="B274" s="2174"/>
      <c r="C274" s="2174"/>
      <c r="D274" s="2174"/>
      <c r="E274" s="2174"/>
      <c r="F274" s="2174"/>
      <c r="G274" s="2174"/>
      <c r="H274" s="2174"/>
      <c r="I274" s="2174"/>
      <c r="J274" s="2174"/>
      <c r="K274" s="2175"/>
      <c r="L274" s="2176"/>
      <c r="M274" s="2174"/>
      <c r="N274" s="2174"/>
      <c r="O274" s="2174"/>
      <c r="P274" s="2215"/>
      <c r="Q274" s="2174"/>
      <c r="R274" s="2174"/>
      <c r="S274" s="2174"/>
      <c r="T274" s="2174"/>
      <c r="U274" s="2174"/>
      <c r="V274" s="2174"/>
      <c r="W274" s="2174"/>
      <c r="X274" s="2174"/>
      <c r="Y274" s="2174"/>
      <c r="Z274" s="2174"/>
      <c r="AA274" s="2174"/>
      <c r="AB274" s="2174"/>
      <c r="AC274" s="2174"/>
    </row>
    <row r="275" spans="1:29">
      <c r="A275" s="2174"/>
      <c r="B275" s="2174"/>
      <c r="C275" s="2174"/>
      <c r="D275" s="2174"/>
      <c r="E275" s="2174"/>
      <c r="F275" s="2174"/>
      <c r="G275" s="2174"/>
      <c r="H275" s="2174"/>
      <c r="I275" s="2174"/>
      <c r="J275" s="2174"/>
      <c r="K275" s="2175"/>
      <c r="L275" s="2176"/>
      <c r="M275" s="2174"/>
      <c r="N275" s="2174"/>
      <c r="O275" s="2174"/>
      <c r="P275" s="2215"/>
      <c r="Q275" s="2174"/>
      <c r="R275" s="2174"/>
      <c r="S275" s="2174"/>
      <c r="T275" s="2174"/>
      <c r="U275" s="2174"/>
      <c r="V275" s="2174"/>
      <c r="W275" s="2174"/>
      <c r="X275" s="2174"/>
      <c r="Y275" s="2174"/>
      <c r="Z275" s="2174"/>
      <c r="AA275" s="2174"/>
      <c r="AB275" s="2174"/>
      <c r="AC275" s="2174"/>
    </row>
    <row r="276" spans="1:29">
      <c r="A276" s="2174"/>
      <c r="B276" s="2174"/>
      <c r="C276" s="2174"/>
      <c r="D276" s="2174"/>
      <c r="E276" s="2174"/>
      <c r="F276" s="2174"/>
      <c r="G276" s="2174"/>
      <c r="H276" s="2174"/>
      <c r="I276" s="2174"/>
      <c r="J276" s="2174"/>
      <c r="K276" s="2175"/>
      <c r="L276" s="2176"/>
      <c r="M276" s="2174"/>
      <c r="N276" s="2174"/>
      <c r="O276" s="2174"/>
      <c r="P276" s="2215"/>
      <c r="Q276" s="2174"/>
      <c r="R276" s="2174"/>
      <c r="S276" s="2174"/>
      <c r="T276" s="2174"/>
      <c r="U276" s="2174"/>
      <c r="V276" s="2174"/>
      <c r="W276" s="2174"/>
      <c r="X276" s="2174"/>
      <c r="Y276" s="2174"/>
      <c r="Z276" s="2174"/>
      <c r="AA276" s="2174"/>
      <c r="AB276" s="2174"/>
      <c r="AC276" s="2174"/>
    </row>
    <row r="277" spans="1:29">
      <c r="A277" s="2174"/>
      <c r="B277" s="2174"/>
      <c r="C277" s="2174"/>
      <c r="D277" s="2174"/>
      <c r="E277" s="2174"/>
      <c r="F277" s="2174"/>
      <c r="G277" s="2174"/>
      <c r="H277" s="2174"/>
      <c r="I277" s="2174"/>
      <c r="J277" s="2174"/>
      <c r="K277" s="2175"/>
      <c r="L277" s="2176"/>
      <c r="M277" s="2174"/>
      <c r="N277" s="2174"/>
      <c r="O277" s="2174"/>
      <c r="P277" s="2215"/>
      <c r="Q277" s="2174"/>
      <c r="R277" s="2174"/>
      <c r="S277" s="2174"/>
      <c r="T277" s="2174"/>
      <c r="U277" s="2174"/>
      <c r="V277" s="2174"/>
      <c r="W277" s="2174"/>
      <c r="X277" s="2174"/>
      <c r="Y277" s="2174"/>
      <c r="Z277" s="2174"/>
      <c r="AA277" s="2174"/>
      <c r="AB277" s="2174"/>
      <c r="AC277" s="2174"/>
    </row>
    <row r="278" spans="1:29">
      <c r="A278" s="2174"/>
      <c r="B278" s="2174"/>
      <c r="C278" s="2174"/>
      <c r="D278" s="2174"/>
      <c r="E278" s="2174"/>
      <c r="F278" s="2174"/>
      <c r="G278" s="2174"/>
      <c r="H278" s="2174"/>
      <c r="I278" s="2174"/>
      <c r="J278" s="2174"/>
      <c r="K278" s="2175"/>
      <c r="L278" s="2176"/>
      <c r="M278" s="2174"/>
      <c r="N278" s="2174"/>
      <c r="O278" s="2174"/>
      <c r="P278" s="2215"/>
      <c r="Q278" s="2174"/>
      <c r="R278" s="2174"/>
      <c r="S278" s="2174"/>
      <c r="T278" s="2174"/>
      <c r="U278" s="2174"/>
      <c r="V278" s="2174"/>
      <c r="W278" s="2174"/>
      <c r="X278" s="2174"/>
      <c r="Y278" s="2174"/>
      <c r="Z278" s="2174"/>
      <c r="AA278" s="2174"/>
      <c r="AB278" s="2174"/>
      <c r="AC278" s="2174"/>
    </row>
    <row r="279" spans="1:29">
      <c r="A279" s="2174"/>
      <c r="B279" s="2174"/>
      <c r="C279" s="2174"/>
      <c r="D279" s="2174"/>
      <c r="E279" s="2174"/>
      <c r="F279" s="2174"/>
      <c r="G279" s="2174"/>
      <c r="H279" s="2174"/>
      <c r="I279" s="2174"/>
      <c r="J279" s="2174"/>
      <c r="K279" s="2175"/>
      <c r="L279" s="2176"/>
      <c r="M279" s="2174"/>
      <c r="N279" s="2174"/>
      <c r="O279" s="2174"/>
      <c r="P279" s="2215"/>
      <c r="Q279" s="2174"/>
      <c r="R279" s="2174"/>
      <c r="S279" s="2174"/>
      <c r="T279" s="2174"/>
      <c r="U279" s="2174"/>
      <c r="V279" s="2174"/>
      <c r="W279" s="2174"/>
      <c r="X279" s="2174"/>
      <c r="Y279" s="2174"/>
      <c r="Z279" s="2174"/>
      <c r="AA279" s="2174"/>
      <c r="AB279" s="2174"/>
      <c r="AC279" s="2174"/>
    </row>
    <row r="280" spans="1:29">
      <c r="A280" s="2174"/>
      <c r="B280" s="2174"/>
      <c r="C280" s="2174"/>
      <c r="D280" s="2174"/>
      <c r="E280" s="2174"/>
      <c r="F280" s="2174"/>
      <c r="G280" s="2174"/>
      <c r="H280" s="2174"/>
      <c r="I280" s="2174"/>
      <c r="J280" s="2174"/>
      <c r="K280" s="2175"/>
      <c r="L280" s="2176"/>
      <c r="M280" s="2174"/>
      <c r="N280" s="2174"/>
      <c r="O280" s="2174"/>
      <c r="P280" s="2215"/>
      <c r="Q280" s="2174"/>
      <c r="R280" s="2174"/>
      <c r="S280" s="2174"/>
      <c r="T280" s="2174"/>
      <c r="U280" s="2174"/>
      <c r="V280" s="2174"/>
      <c r="W280" s="2174"/>
      <c r="X280" s="2174"/>
      <c r="Y280" s="2174"/>
      <c r="Z280" s="2174"/>
      <c r="AA280" s="2174"/>
      <c r="AB280" s="2174"/>
      <c r="AC280" s="2174"/>
    </row>
    <row r="281" spans="1:29">
      <c r="A281" s="2174"/>
      <c r="B281" s="2174"/>
      <c r="C281" s="2174"/>
      <c r="D281" s="2174"/>
      <c r="E281" s="2174"/>
      <c r="F281" s="2174"/>
      <c r="G281" s="2174"/>
      <c r="H281" s="2174"/>
      <c r="I281" s="2174"/>
      <c r="J281" s="2174"/>
      <c r="K281" s="2175"/>
      <c r="L281" s="2176"/>
      <c r="M281" s="2174"/>
      <c r="N281" s="2174"/>
      <c r="O281" s="2174"/>
      <c r="P281" s="2215"/>
      <c r="Q281" s="2174"/>
      <c r="R281" s="2174"/>
      <c r="S281" s="2174"/>
      <c r="T281" s="2174"/>
      <c r="U281" s="2174"/>
      <c r="V281" s="2174"/>
      <c r="W281" s="2174"/>
      <c r="X281" s="2174"/>
      <c r="Y281" s="2174"/>
      <c r="Z281" s="2174"/>
      <c r="AA281" s="2174"/>
      <c r="AB281" s="2174"/>
      <c r="AC281" s="2174"/>
    </row>
    <row r="282" spans="1:29">
      <c r="A282" s="2174"/>
      <c r="B282" s="2174"/>
      <c r="C282" s="2174"/>
      <c r="D282" s="2174"/>
      <c r="E282" s="2174"/>
      <c r="F282" s="2174"/>
      <c r="G282" s="2174"/>
      <c r="H282" s="2174"/>
      <c r="I282" s="2174"/>
      <c r="J282" s="2174"/>
      <c r="K282" s="2175"/>
      <c r="L282" s="2176"/>
      <c r="M282" s="2174"/>
      <c r="N282" s="2174"/>
      <c r="O282" s="2174"/>
      <c r="P282" s="2215"/>
      <c r="Q282" s="2174"/>
      <c r="R282" s="2174"/>
      <c r="S282" s="2174"/>
      <c r="T282" s="2174"/>
      <c r="U282" s="2174"/>
      <c r="V282" s="2174"/>
      <c r="W282" s="2174"/>
      <c r="X282" s="2174"/>
      <c r="Y282" s="2174"/>
      <c r="Z282" s="2174"/>
      <c r="AA282" s="2174"/>
      <c r="AB282" s="2174"/>
      <c r="AC282" s="2174"/>
    </row>
    <row r="283" spans="1:29">
      <c r="A283" s="2174"/>
      <c r="B283" s="2174"/>
      <c r="C283" s="2174"/>
      <c r="D283" s="2174"/>
      <c r="E283" s="2174"/>
      <c r="F283" s="2174"/>
      <c r="G283" s="2174"/>
      <c r="H283" s="2174"/>
      <c r="I283" s="2174"/>
      <c r="J283" s="2174"/>
      <c r="K283" s="2175"/>
      <c r="L283" s="2176"/>
      <c r="M283" s="2174"/>
      <c r="N283" s="2174"/>
      <c r="O283" s="2174"/>
      <c r="P283" s="2215"/>
      <c r="Q283" s="2174"/>
      <c r="R283" s="2174"/>
      <c r="S283" s="2174"/>
      <c r="T283" s="2174"/>
      <c r="U283" s="2174"/>
      <c r="V283" s="2174"/>
      <c r="W283" s="2174"/>
      <c r="X283" s="2174"/>
      <c r="Y283" s="2174"/>
      <c r="Z283" s="2174"/>
      <c r="AA283" s="2174"/>
      <c r="AB283" s="2174"/>
      <c r="AC283" s="2174"/>
    </row>
    <row r="284" spans="1:29">
      <c r="A284" s="2174"/>
      <c r="B284" s="2174"/>
      <c r="C284" s="2174"/>
      <c r="D284" s="2174"/>
      <c r="E284" s="2174"/>
      <c r="F284" s="2174"/>
      <c r="G284" s="2174"/>
      <c r="H284" s="2174"/>
      <c r="I284" s="2174"/>
      <c r="J284" s="2174"/>
      <c r="K284" s="2175"/>
      <c r="L284" s="2176"/>
      <c r="M284" s="2174"/>
      <c r="N284" s="2174"/>
      <c r="O284" s="2174"/>
      <c r="P284" s="2215"/>
      <c r="Q284" s="2174"/>
      <c r="R284" s="2174"/>
      <c r="S284" s="2174"/>
      <c r="T284" s="2174"/>
      <c r="U284" s="2174"/>
      <c r="V284" s="2174"/>
      <c r="W284" s="2174"/>
      <c r="X284" s="2174"/>
      <c r="Y284" s="2174"/>
      <c r="Z284" s="2174"/>
      <c r="AA284" s="2174"/>
      <c r="AB284" s="2174"/>
      <c r="AC284" s="2174"/>
    </row>
    <row r="285" spans="1:29">
      <c r="A285" s="2174"/>
      <c r="B285" s="2174"/>
      <c r="C285" s="2174"/>
      <c r="D285" s="2174"/>
      <c r="E285" s="2174"/>
      <c r="F285" s="2174"/>
      <c r="G285" s="2174"/>
      <c r="H285" s="2174"/>
      <c r="I285" s="2174"/>
      <c r="J285" s="2174"/>
      <c r="K285" s="2175"/>
      <c r="L285" s="2176"/>
      <c r="M285" s="2174"/>
      <c r="N285" s="2174"/>
      <c r="O285" s="2174"/>
      <c r="P285" s="2215"/>
      <c r="Q285" s="2174"/>
      <c r="R285" s="2174"/>
      <c r="S285" s="2174"/>
      <c r="T285" s="2174"/>
      <c r="U285" s="2174"/>
      <c r="V285" s="2174"/>
      <c r="W285" s="2174"/>
      <c r="X285" s="2174"/>
      <c r="Y285" s="2174"/>
      <c r="Z285" s="2174"/>
      <c r="AA285" s="2174"/>
      <c r="AB285" s="2174"/>
      <c r="AC285" s="2174"/>
    </row>
    <row r="286" spans="1:29">
      <c r="A286" s="2174"/>
      <c r="B286" s="2174"/>
      <c r="C286" s="2174"/>
      <c r="D286" s="2174"/>
      <c r="E286" s="2174"/>
      <c r="F286" s="2174"/>
      <c r="G286" s="2174"/>
      <c r="H286" s="2174"/>
      <c r="I286" s="2174"/>
      <c r="J286" s="2174"/>
      <c r="K286" s="2175"/>
      <c r="L286" s="2176"/>
      <c r="M286" s="2174"/>
      <c r="N286" s="2174"/>
      <c r="O286" s="2174"/>
      <c r="P286" s="2215"/>
      <c r="Q286" s="2174"/>
      <c r="R286" s="2174"/>
      <c r="S286" s="2174"/>
      <c r="T286" s="2174"/>
      <c r="U286" s="2174"/>
      <c r="V286" s="2174"/>
      <c r="W286" s="2174"/>
      <c r="X286" s="2174"/>
      <c r="Y286" s="2174"/>
      <c r="Z286" s="2174"/>
      <c r="AA286" s="2174"/>
      <c r="AB286" s="2174"/>
      <c r="AC286" s="2174"/>
    </row>
    <row r="287" spans="1:29">
      <c r="A287" s="2174"/>
      <c r="B287" s="2174"/>
      <c r="C287" s="2174"/>
      <c r="D287" s="2174"/>
      <c r="E287" s="2174"/>
      <c r="F287" s="2174"/>
      <c r="G287" s="2174"/>
      <c r="H287" s="2174"/>
      <c r="I287" s="2174"/>
      <c r="J287" s="2174"/>
      <c r="K287" s="2175"/>
      <c r="L287" s="2176"/>
      <c r="M287" s="2174"/>
      <c r="N287" s="2174"/>
      <c r="O287" s="2174"/>
      <c r="P287" s="2215"/>
      <c r="Q287" s="2174"/>
      <c r="R287" s="2174"/>
      <c r="S287" s="2174"/>
      <c r="T287" s="2174"/>
      <c r="U287" s="2174"/>
      <c r="V287" s="2174"/>
      <c r="W287" s="2174"/>
      <c r="X287" s="2174"/>
      <c r="Y287" s="2174"/>
      <c r="Z287" s="2174"/>
      <c r="AA287" s="2174"/>
      <c r="AB287" s="2174"/>
      <c r="AC287" s="2174"/>
    </row>
    <row r="288" spans="1:29">
      <c r="A288" s="2174"/>
      <c r="B288" s="2174"/>
      <c r="C288" s="2174"/>
      <c r="D288" s="2174"/>
      <c r="E288" s="2174"/>
      <c r="F288" s="2174"/>
      <c r="G288" s="2174"/>
      <c r="H288" s="2174"/>
      <c r="I288" s="2174"/>
      <c r="J288" s="2174"/>
      <c r="K288" s="2175"/>
      <c r="L288" s="2176"/>
      <c r="M288" s="2174"/>
      <c r="N288" s="2174"/>
      <c r="O288" s="2174"/>
      <c r="P288" s="2215"/>
      <c r="Q288" s="2174"/>
      <c r="R288" s="2174"/>
      <c r="S288" s="2174"/>
      <c r="T288" s="2174"/>
      <c r="U288" s="2174"/>
      <c r="V288" s="2174"/>
      <c r="W288" s="2174"/>
      <c r="X288" s="2174"/>
      <c r="Y288" s="2174"/>
      <c r="Z288" s="2174"/>
      <c r="AA288" s="2174"/>
      <c r="AB288" s="2174"/>
      <c r="AC288" s="2174"/>
    </row>
    <row r="289" spans="1:29">
      <c r="A289" s="2174"/>
      <c r="B289" s="2174"/>
      <c r="C289" s="2174"/>
      <c r="D289" s="2174"/>
      <c r="E289" s="2174"/>
      <c r="F289" s="2174"/>
      <c r="G289" s="2174"/>
      <c r="H289" s="2174"/>
      <c r="I289" s="2174"/>
      <c r="J289" s="2174"/>
      <c r="K289" s="2175"/>
      <c r="L289" s="2176"/>
      <c r="M289" s="2174"/>
      <c r="N289" s="2174"/>
      <c r="O289" s="2174"/>
      <c r="P289" s="2215"/>
      <c r="Q289" s="2174"/>
      <c r="R289" s="2174"/>
      <c r="S289" s="2174"/>
      <c r="T289" s="2174"/>
      <c r="U289" s="2174"/>
      <c r="V289" s="2174"/>
      <c r="W289" s="2174"/>
      <c r="X289" s="2174"/>
      <c r="Y289" s="2174"/>
      <c r="Z289" s="2174"/>
      <c r="AA289" s="2174"/>
      <c r="AB289" s="2174"/>
      <c r="AC289" s="2174"/>
    </row>
    <row r="290" spans="1:29">
      <c r="A290" s="2174"/>
      <c r="B290" s="2174"/>
      <c r="C290" s="2174"/>
      <c r="D290" s="2174"/>
      <c r="E290" s="2174"/>
      <c r="F290" s="2174"/>
      <c r="G290" s="2174"/>
      <c r="H290" s="2174"/>
      <c r="I290" s="2174"/>
      <c r="J290" s="2174"/>
      <c r="K290" s="2175"/>
      <c r="L290" s="2176"/>
      <c r="M290" s="2174"/>
      <c r="N290" s="2174"/>
      <c r="O290" s="2174"/>
      <c r="P290" s="2215"/>
      <c r="Q290" s="2174"/>
      <c r="R290" s="2174"/>
      <c r="S290" s="2174"/>
      <c r="T290" s="2174"/>
      <c r="U290" s="2174"/>
      <c r="V290" s="2174"/>
      <c r="W290" s="2174"/>
      <c r="X290" s="2174"/>
      <c r="Y290" s="2174"/>
      <c r="Z290" s="2174"/>
      <c r="AA290" s="2174"/>
      <c r="AB290" s="2174"/>
      <c r="AC290" s="2174"/>
    </row>
    <row r="291" spans="1:29">
      <c r="A291" s="2174"/>
      <c r="B291" s="2174"/>
      <c r="C291" s="2174"/>
      <c r="D291" s="2174"/>
      <c r="E291" s="2174"/>
      <c r="F291" s="2174"/>
      <c r="G291" s="2174"/>
      <c r="H291" s="2174"/>
      <c r="I291" s="2174"/>
      <c r="J291" s="2174"/>
      <c r="K291" s="2175"/>
      <c r="L291" s="2176"/>
      <c r="M291" s="2174"/>
      <c r="N291" s="2174"/>
      <c r="O291" s="2174"/>
      <c r="P291" s="2215"/>
      <c r="Q291" s="2174"/>
      <c r="R291" s="2174"/>
      <c r="S291" s="2174"/>
      <c r="T291" s="2174"/>
      <c r="U291" s="2174"/>
      <c r="V291" s="2174"/>
      <c r="W291" s="2174"/>
      <c r="X291" s="2174"/>
      <c r="Y291" s="2174"/>
      <c r="Z291" s="2174"/>
      <c r="AA291" s="2174"/>
      <c r="AB291" s="2174"/>
      <c r="AC291" s="2174"/>
    </row>
    <row r="292" spans="1:29">
      <c r="A292" s="2174"/>
      <c r="B292" s="2174"/>
      <c r="C292" s="2174"/>
      <c r="D292" s="2174"/>
      <c r="E292" s="2174"/>
      <c r="F292" s="2174"/>
      <c r="G292" s="2174"/>
      <c r="H292" s="2174"/>
      <c r="I292" s="2174"/>
      <c r="J292" s="2174"/>
      <c r="K292" s="2175"/>
      <c r="L292" s="2176"/>
      <c r="M292" s="2174"/>
      <c r="N292" s="2174"/>
      <c r="O292" s="2174"/>
      <c r="P292" s="2215"/>
      <c r="Q292" s="2174"/>
      <c r="R292" s="2174"/>
      <c r="S292" s="2174"/>
      <c r="T292" s="2174"/>
      <c r="U292" s="2174"/>
      <c r="V292" s="2174"/>
      <c r="W292" s="2174"/>
      <c r="X292" s="2174"/>
      <c r="Y292" s="2174"/>
      <c r="Z292" s="2174"/>
      <c r="AA292" s="2174"/>
      <c r="AB292" s="2174"/>
      <c r="AC292" s="2174"/>
    </row>
    <row r="293" spans="1:29">
      <c r="A293" s="2174"/>
      <c r="B293" s="2174"/>
      <c r="C293" s="2174"/>
      <c r="D293" s="2174"/>
      <c r="E293" s="2174"/>
      <c r="F293" s="2174"/>
      <c r="G293" s="2174"/>
      <c r="H293" s="2174"/>
      <c r="I293" s="2174"/>
      <c r="J293" s="2174"/>
      <c r="K293" s="2175"/>
      <c r="L293" s="2176"/>
      <c r="M293" s="2174"/>
      <c r="N293" s="2174"/>
      <c r="O293" s="2174"/>
      <c r="P293" s="2215"/>
      <c r="Q293" s="2174"/>
      <c r="R293" s="2174"/>
      <c r="S293" s="2174"/>
      <c r="T293" s="2174"/>
      <c r="U293" s="2174"/>
      <c r="V293" s="2174"/>
      <c r="W293" s="2174"/>
      <c r="X293" s="2174"/>
      <c r="Y293" s="2174"/>
      <c r="Z293" s="2174"/>
      <c r="AA293" s="2174"/>
      <c r="AB293" s="2174"/>
      <c r="AC293" s="2174"/>
    </row>
    <row r="294" spans="1:29">
      <c r="A294" s="2174"/>
      <c r="B294" s="2174"/>
      <c r="C294" s="2174"/>
      <c r="D294" s="2174"/>
      <c r="E294" s="2174"/>
      <c r="F294" s="2174"/>
      <c r="G294" s="2174"/>
      <c r="H294" s="2174"/>
      <c r="I294" s="2174"/>
      <c r="J294" s="2174"/>
      <c r="K294" s="2175"/>
      <c r="L294" s="2176"/>
      <c r="M294" s="2174"/>
      <c r="N294" s="2174"/>
      <c r="O294" s="2174"/>
      <c r="P294" s="2215"/>
      <c r="Q294" s="2174"/>
      <c r="R294" s="2174"/>
      <c r="S294" s="2174"/>
      <c r="T294" s="2174"/>
      <c r="U294" s="2174"/>
      <c r="V294" s="2174"/>
      <c r="W294" s="2174"/>
      <c r="X294" s="2174"/>
      <c r="Y294" s="2174"/>
      <c r="Z294" s="2174"/>
      <c r="AA294" s="2174"/>
      <c r="AB294" s="2174"/>
      <c r="AC294" s="2174"/>
    </row>
    <row r="295" spans="1:29">
      <c r="A295" s="2174"/>
      <c r="B295" s="2174"/>
      <c r="C295" s="2174"/>
      <c r="D295" s="2174"/>
      <c r="E295" s="2174"/>
      <c r="F295" s="2174"/>
      <c r="G295" s="2174"/>
      <c r="H295" s="2174"/>
      <c r="I295" s="2174"/>
      <c r="J295" s="2174"/>
      <c r="K295" s="2175"/>
      <c r="L295" s="2176"/>
      <c r="M295" s="2174"/>
      <c r="N295" s="2174"/>
      <c r="O295" s="2174"/>
      <c r="P295" s="2215"/>
      <c r="Q295" s="2174"/>
      <c r="R295" s="2174"/>
      <c r="S295" s="2174"/>
      <c r="T295" s="2174"/>
      <c r="U295" s="2174"/>
      <c r="V295" s="2174"/>
      <c r="W295" s="2174"/>
      <c r="X295" s="2174"/>
      <c r="Y295" s="2174"/>
      <c r="Z295" s="2174"/>
      <c r="AA295" s="2174"/>
      <c r="AB295" s="2174"/>
      <c r="AC295" s="2174"/>
    </row>
    <row r="296" spans="1:29">
      <c r="A296" s="2174"/>
      <c r="B296" s="2174"/>
      <c r="C296" s="2174"/>
      <c r="D296" s="2174"/>
      <c r="E296" s="2174"/>
      <c r="F296" s="2174"/>
      <c r="G296" s="2174"/>
      <c r="H296" s="2174"/>
      <c r="I296" s="2174"/>
      <c r="J296" s="2174"/>
      <c r="K296" s="2175"/>
      <c r="L296" s="2176"/>
      <c r="M296" s="2174"/>
      <c r="N296" s="2174"/>
      <c r="O296" s="2174"/>
      <c r="P296" s="2215"/>
      <c r="Q296" s="2174"/>
      <c r="R296" s="2174"/>
      <c r="S296" s="2174"/>
      <c r="T296" s="2174"/>
      <c r="U296" s="2174"/>
      <c r="V296" s="2174"/>
      <c r="W296" s="2174"/>
      <c r="X296" s="2174"/>
      <c r="Y296" s="2174"/>
      <c r="Z296" s="2174"/>
      <c r="AA296" s="2174"/>
      <c r="AB296" s="2174"/>
      <c r="AC296" s="2174"/>
    </row>
    <row r="297" spans="1:29">
      <c r="A297" s="2174"/>
      <c r="B297" s="2174"/>
      <c r="C297" s="2174"/>
      <c r="D297" s="2174"/>
      <c r="E297" s="2174"/>
      <c r="F297" s="2174"/>
      <c r="G297" s="2174"/>
      <c r="H297" s="2174"/>
      <c r="I297" s="2174"/>
      <c r="J297" s="2174"/>
      <c r="K297" s="2175"/>
      <c r="L297" s="2176"/>
      <c r="M297" s="2174"/>
      <c r="N297" s="2174"/>
      <c r="O297" s="2174"/>
      <c r="P297" s="2215"/>
      <c r="Q297" s="2174"/>
      <c r="R297" s="2174"/>
      <c r="S297" s="2174"/>
      <c r="T297" s="2174"/>
      <c r="U297" s="2174"/>
      <c r="V297" s="2174"/>
      <c r="W297" s="2174"/>
      <c r="X297" s="2174"/>
      <c r="Y297" s="2174"/>
      <c r="Z297" s="2174"/>
      <c r="AA297" s="2174"/>
      <c r="AB297" s="2174"/>
      <c r="AC297" s="2174"/>
    </row>
    <row r="298" spans="1:29">
      <c r="A298" s="2174"/>
      <c r="B298" s="2174"/>
      <c r="C298" s="2174"/>
      <c r="D298" s="2174"/>
      <c r="E298" s="2174"/>
      <c r="F298" s="2174"/>
      <c r="G298" s="2174"/>
      <c r="H298" s="2174"/>
      <c r="I298" s="2174"/>
      <c r="J298" s="2174"/>
      <c r="K298" s="2175"/>
      <c r="L298" s="2176"/>
      <c r="M298" s="2174"/>
      <c r="N298" s="2174"/>
      <c r="O298" s="2174"/>
      <c r="P298" s="2215"/>
      <c r="Q298" s="2174"/>
      <c r="R298" s="2174"/>
      <c r="S298" s="2174"/>
      <c r="T298" s="2174"/>
      <c r="U298" s="2174"/>
      <c r="V298" s="2174"/>
      <c r="W298" s="2174"/>
      <c r="X298" s="2174"/>
      <c r="Y298" s="2174"/>
      <c r="Z298" s="2174"/>
      <c r="AA298" s="2174"/>
      <c r="AB298" s="2174"/>
      <c r="AC298" s="2174"/>
    </row>
    <row r="299" spans="1:29">
      <c r="A299" s="2174"/>
      <c r="B299" s="2174"/>
      <c r="C299" s="2174"/>
      <c r="D299" s="2174"/>
      <c r="E299" s="2174"/>
      <c r="F299" s="2174"/>
      <c r="G299" s="2174"/>
      <c r="H299" s="2174"/>
      <c r="I299" s="2174"/>
      <c r="J299" s="2174"/>
      <c r="K299" s="2175"/>
      <c r="L299" s="2176"/>
      <c r="M299" s="2174"/>
      <c r="N299" s="2174"/>
      <c r="O299" s="2174"/>
      <c r="P299" s="2215"/>
      <c r="Q299" s="2174"/>
      <c r="R299" s="2174"/>
      <c r="S299" s="2174"/>
      <c r="T299" s="2174"/>
      <c r="U299" s="2174"/>
      <c r="V299" s="2174"/>
      <c r="W299" s="2174"/>
      <c r="X299" s="2174"/>
      <c r="Y299" s="2174"/>
      <c r="Z299" s="2174"/>
      <c r="AA299" s="2174"/>
      <c r="AB299" s="2174"/>
      <c r="AC299" s="2174"/>
    </row>
    <row r="300" spans="1:29">
      <c r="A300" s="2174"/>
      <c r="B300" s="2174"/>
      <c r="C300" s="2174"/>
      <c r="D300" s="2174"/>
      <c r="E300" s="2174"/>
      <c r="F300" s="2174"/>
      <c r="G300" s="2174"/>
      <c r="H300" s="2174"/>
      <c r="I300" s="2174"/>
      <c r="J300" s="2174"/>
      <c r="K300" s="2175"/>
      <c r="L300" s="2176"/>
      <c r="M300" s="2174"/>
      <c r="N300" s="2174"/>
      <c r="O300" s="2174"/>
      <c r="P300" s="2215"/>
      <c r="Q300" s="2174"/>
      <c r="R300" s="2174"/>
      <c r="S300" s="2174"/>
      <c r="T300" s="2174"/>
      <c r="U300" s="2174"/>
      <c r="V300" s="2174"/>
      <c r="W300" s="2174"/>
      <c r="X300" s="2174"/>
      <c r="Y300" s="2174"/>
      <c r="Z300" s="2174"/>
      <c r="AA300" s="2174"/>
      <c r="AB300" s="2174"/>
      <c r="AC300" s="2174"/>
    </row>
    <row r="301" spans="1:29">
      <c r="A301" s="2174"/>
      <c r="B301" s="2174"/>
      <c r="C301" s="2174"/>
      <c r="D301" s="2174"/>
      <c r="E301" s="2174"/>
      <c r="F301" s="2174"/>
      <c r="G301" s="2174"/>
      <c r="H301" s="2174"/>
      <c r="I301" s="2174"/>
      <c r="J301" s="2174"/>
      <c r="K301" s="2175"/>
      <c r="L301" s="2176"/>
      <c r="M301" s="2174"/>
      <c r="N301" s="2174"/>
      <c r="O301" s="2174"/>
      <c r="P301" s="2215"/>
      <c r="Q301" s="2174"/>
      <c r="R301" s="2174"/>
      <c r="S301" s="2174"/>
      <c r="T301" s="2174"/>
      <c r="U301" s="2174"/>
      <c r="V301" s="2174"/>
      <c r="W301" s="2174"/>
      <c r="X301" s="2174"/>
      <c r="Y301" s="2174"/>
      <c r="Z301" s="2174"/>
      <c r="AA301" s="2174"/>
      <c r="AB301" s="2174"/>
      <c r="AC301" s="2174"/>
    </row>
    <row r="302" spans="1:29">
      <c r="A302" s="2174"/>
      <c r="B302" s="2174"/>
      <c r="C302" s="2174"/>
      <c r="D302" s="2174"/>
      <c r="E302" s="2174"/>
      <c r="F302" s="2174"/>
      <c r="G302" s="2174"/>
      <c r="H302" s="2174"/>
      <c r="I302" s="2174"/>
      <c r="J302" s="2174"/>
      <c r="K302" s="2175"/>
      <c r="L302" s="2176"/>
      <c r="M302" s="2174"/>
      <c r="N302" s="2174"/>
      <c r="O302" s="2174"/>
      <c r="P302" s="2215"/>
      <c r="Q302" s="2174"/>
      <c r="R302" s="2174"/>
      <c r="S302" s="2174"/>
      <c r="T302" s="2174"/>
      <c r="U302" s="2174"/>
      <c r="V302" s="2174"/>
      <c r="W302" s="2174"/>
      <c r="X302" s="2174"/>
      <c r="Y302" s="2174"/>
      <c r="Z302" s="2174"/>
      <c r="AA302" s="2174"/>
      <c r="AB302" s="2174"/>
      <c r="AC302" s="2174"/>
    </row>
    <row r="303" spans="1:29">
      <c r="A303" s="2174"/>
      <c r="B303" s="2174"/>
      <c r="C303" s="2174"/>
      <c r="D303" s="2174"/>
      <c r="E303" s="2174"/>
      <c r="F303" s="2174"/>
      <c r="G303" s="2174"/>
      <c r="H303" s="2174"/>
      <c r="I303" s="2174"/>
      <c r="J303" s="2174"/>
      <c r="K303" s="2175"/>
      <c r="L303" s="2176"/>
      <c r="M303" s="2174"/>
      <c r="N303" s="2174"/>
      <c r="O303" s="2174"/>
      <c r="P303" s="2215"/>
      <c r="Q303" s="2174"/>
      <c r="R303" s="2174"/>
      <c r="S303" s="2174"/>
      <c r="T303" s="2174"/>
      <c r="U303" s="2174"/>
      <c r="V303" s="2174"/>
      <c r="W303" s="2174"/>
      <c r="X303" s="2174"/>
      <c r="Y303" s="2174"/>
      <c r="Z303" s="2174"/>
      <c r="AA303" s="2174"/>
      <c r="AB303" s="2174"/>
      <c r="AC303" s="2174"/>
    </row>
    <row r="304" spans="1:29">
      <c r="A304" s="2174"/>
      <c r="B304" s="2174"/>
      <c r="C304" s="2174"/>
      <c r="D304" s="2174"/>
      <c r="E304" s="2174"/>
      <c r="F304" s="2174"/>
      <c r="G304" s="2174"/>
      <c r="H304" s="2174"/>
      <c r="I304" s="2174"/>
      <c r="J304" s="2174"/>
      <c r="K304" s="2175"/>
      <c r="L304" s="2176"/>
      <c r="M304" s="2174"/>
      <c r="N304" s="2174"/>
      <c r="O304" s="2174"/>
      <c r="P304" s="2215"/>
      <c r="Q304" s="2174"/>
      <c r="R304" s="2174"/>
      <c r="S304" s="2174"/>
      <c r="T304" s="2174"/>
      <c r="U304" s="2174"/>
      <c r="V304" s="2174"/>
      <c r="W304" s="2174"/>
      <c r="X304" s="2174"/>
      <c r="Y304" s="2174"/>
      <c r="Z304" s="2174"/>
      <c r="AA304" s="2174"/>
      <c r="AB304" s="2174"/>
      <c r="AC304" s="2174"/>
    </row>
    <row r="305" spans="1:29">
      <c r="A305" s="2174"/>
      <c r="B305" s="2174"/>
      <c r="C305" s="2174"/>
      <c r="D305" s="2174"/>
      <c r="E305" s="2174"/>
      <c r="F305" s="2174"/>
      <c r="G305" s="2174"/>
      <c r="H305" s="2174"/>
      <c r="I305" s="2174"/>
      <c r="J305" s="2174"/>
      <c r="K305" s="2175"/>
      <c r="L305" s="2176"/>
      <c r="M305" s="2174"/>
      <c r="N305" s="2174"/>
      <c r="O305" s="2174"/>
      <c r="P305" s="2215"/>
      <c r="Q305" s="2174"/>
      <c r="R305" s="2174"/>
      <c r="S305" s="2174"/>
      <c r="T305" s="2174"/>
      <c r="U305" s="2174"/>
      <c r="V305" s="2174"/>
      <c r="W305" s="2174"/>
      <c r="X305" s="2174"/>
      <c r="Y305" s="2174"/>
      <c r="Z305" s="2174"/>
      <c r="AA305" s="2174"/>
      <c r="AB305" s="2174"/>
      <c r="AC305" s="2174"/>
    </row>
    <row r="306" spans="1:29">
      <c r="A306" s="2174"/>
      <c r="B306" s="2174"/>
      <c r="C306" s="2174"/>
      <c r="D306" s="2174"/>
      <c r="E306" s="2174"/>
      <c r="F306" s="2174"/>
      <c r="G306" s="2174"/>
      <c r="H306" s="2174"/>
      <c r="I306" s="2174"/>
      <c r="J306" s="2174"/>
      <c r="K306" s="2175"/>
      <c r="L306" s="2176"/>
      <c r="M306" s="2174"/>
      <c r="N306" s="2174"/>
      <c r="O306" s="2174"/>
      <c r="P306" s="2215"/>
      <c r="Q306" s="2174"/>
      <c r="R306" s="2174"/>
      <c r="S306" s="2174"/>
      <c r="T306" s="2174"/>
      <c r="U306" s="2174"/>
      <c r="V306" s="2174"/>
      <c r="W306" s="2174"/>
      <c r="X306" s="2174"/>
      <c r="Y306" s="2174"/>
      <c r="Z306" s="2174"/>
      <c r="AA306" s="2174"/>
      <c r="AB306" s="2174"/>
      <c r="AC306" s="2174"/>
    </row>
    <row r="307" spans="1:29">
      <c r="A307" s="2174"/>
      <c r="B307" s="2174"/>
      <c r="C307" s="2174"/>
      <c r="D307" s="2174"/>
      <c r="E307" s="2174"/>
      <c r="F307" s="2174"/>
      <c r="G307" s="2174"/>
      <c r="H307" s="2174"/>
      <c r="I307" s="2174"/>
      <c r="J307" s="2174"/>
      <c r="K307" s="2175"/>
      <c r="L307" s="2176"/>
      <c r="M307" s="2174"/>
      <c r="N307" s="2174"/>
      <c r="O307" s="2174"/>
      <c r="P307" s="2215"/>
      <c r="Q307" s="2174"/>
      <c r="R307" s="2174"/>
      <c r="S307" s="2174"/>
      <c r="T307" s="2174"/>
      <c r="U307" s="2174"/>
      <c r="V307" s="2174"/>
      <c r="W307" s="2174"/>
      <c r="X307" s="2174"/>
      <c r="Y307" s="2174"/>
      <c r="Z307" s="2174"/>
      <c r="AA307" s="2174"/>
      <c r="AB307" s="2174"/>
      <c r="AC307" s="2174"/>
    </row>
    <row r="308" spans="1:29">
      <c r="A308" s="2174"/>
      <c r="B308" s="2174"/>
      <c r="C308" s="2174"/>
      <c r="D308" s="2174"/>
      <c r="E308" s="2174"/>
      <c r="F308" s="2174"/>
      <c r="G308" s="2174"/>
      <c r="H308" s="2174"/>
      <c r="I308" s="2174"/>
      <c r="J308" s="2174"/>
      <c r="K308" s="2175"/>
      <c r="L308" s="2176"/>
      <c r="M308" s="2174"/>
      <c r="N308" s="2174"/>
      <c r="O308" s="2174"/>
      <c r="P308" s="2215"/>
      <c r="Q308" s="2174"/>
      <c r="R308" s="2174"/>
      <c r="S308" s="2174"/>
      <c r="T308" s="2174"/>
      <c r="U308" s="2174"/>
      <c r="V308" s="2174"/>
      <c r="W308" s="2174"/>
      <c r="X308" s="2174"/>
      <c r="Y308" s="2174"/>
      <c r="Z308" s="2174"/>
      <c r="AA308" s="2174"/>
      <c r="AB308" s="2174"/>
      <c r="AC308" s="2174"/>
    </row>
    <row r="309" spans="1:29">
      <c r="A309" s="2174"/>
      <c r="B309" s="2174"/>
      <c r="C309" s="2174"/>
      <c r="D309" s="2174"/>
      <c r="E309" s="2174"/>
      <c r="F309" s="2174"/>
      <c r="G309" s="2174"/>
      <c r="H309" s="2174"/>
      <c r="I309" s="2174"/>
      <c r="J309" s="2174"/>
      <c r="K309" s="2175"/>
      <c r="L309" s="2176"/>
      <c r="M309" s="2174"/>
      <c r="N309" s="2174"/>
      <c r="O309" s="2174"/>
      <c r="P309" s="2215"/>
      <c r="Q309" s="2174"/>
      <c r="R309" s="2174"/>
      <c r="S309" s="2174"/>
      <c r="T309" s="2174"/>
      <c r="U309" s="2174"/>
      <c r="V309" s="2174"/>
      <c r="W309" s="2174"/>
      <c r="X309" s="2174"/>
      <c r="Y309" s="2174"/>
      <c r="Z309" s="2174"/>
      <c r="AA309" s="2174"/>
      <c r="AB309" s="2174"/>
      <c r="AC309" s="2174"/>
    </row>
    <row r="310" spans="1:29">
      <c r="A310" s="2174"/>
      <c r="B310" s="2174"/>
      <c r="C310" s="2174"/>
      <c r="D310" s="2174"/>
      <c r="E310" s="2174"/>
      <c r="F310" s="2174"/>
      <c r="G310" s="2174"/>
      <c r="H310" s="2174"/>
      <c r="I310" s="2174"/>
      <c r="J310" s="2174"/>
      <c r="K310" s="2175"/>
      <c r="L310" s="2176"/>
      <c r="M310" s="2174"/>
      <c r="N310" s="2174"/>
      <c r="O310" s="2174"/>
      <c r="P310" s="2215"/>
      <c r="Q310" s="2174"/>
      <c r="R310" s="2174"/>
      <c r="S310" s="2174"/>
      <c r="T310" s="2174"/>
      <c r="U310" s="2174"/>
      <c r="V310" s="2174"/>
      <c r="W310" s="2174"/>
      <c r="X310" s="2174"/>
      <c r="Y310" s="2174"/>
      <c r="Z310" s="2174"/>
      <c r="AA310" s="2174"/>
      <c r="AB310" s="2174"/>
      <c r="AC310" s="2174"/>
    </row>
    <row r="311" spans="1:29">
      <c r="A311" s="2174"/>
      <c r="B311" s="2174"/>
      <c r="C311" s="2174"/>
      <c r="D311" s="2174"/>
      <c r="E311" s="2174"/>
      <c r="F311" s="2174"/>
      <c r="G311" s="2174"/>
      <c r="H311" s="2174"/>
      <c r="I311" s="2174"/>
      <c r="J311" s="2174"/>
      <c r="K311" s="2175"/>
      <c r="L311" s="2176"/>
      <c r="M311" s="2174"/>
      <c r="N311" s="2174"/>
      <c r="O311" s="2174"/>
      <c r="P311" s="2215"/>
      <c r="Q311" s="2174"/>
      <c r="R311" s="2174"/>
      <c r="S311" s="2174"/>
      <c r="T311" s="2174"/>
      <c r="U311" s="2174"/>
      <c r="V311" s="2174"/>
      <c r="W311" s="2174"/>
      <c r="X311" s="2174"/>
      <c r="Y311" s="2174"/>
      <c r="Z311" s="2174"/>
      <c r="AA311" s="2174"/>
      <c r="AB311" s="2174"/>
      <c r="AC311" s="2174"/>
    </row>
    <row r="312" spans="1:29">
      <c r="A312" s="2174"/>
      <c r="B312" s="2174"/>
      <c r="C312" s="2174"/>
      <c r="D312" s="2174"/>
      <c r="E312" s="2174"/>
      <c r="F312" s="2174"/>
      <c r="G312" s="2174"/>
      <c r="H312" s="2174"/>
      <c r="I312" s="2174"/>
      <c r="J312" s="2174"/>
      <c r="K312" s="2175"/>
      <c r="L312" s="2176"/>
      <c r="M312" s="2174"/>
      <c r="N312" s="2174"/>
      <c r="O312" s="2174"/>
      <c r="P312" s="2215"/>
      <c r="Q312" s="2174"/>
      <c r="R312" s="2174"/>
      <c r="S312" s="2174"/>
      <c r="T312" s="2174"/>
      <c r="U312" s="2174"/>
      <c r="V312" s="2174"/>
      <c r="W312" s="2174"/>
      <c r="X312" s="2174"/>
      <c r="Y312" s="2174"/>
      <c r="Z312" s="2174"/>
      <c r="AA312" s="2174"/>
      <c r="AB312" s="2174"/>
      <c r="AC312" s="2174"/>
    </row>
    <row r="313" spans="1:29">
      <c r="A313" s="2174"/>
      <c r="B313" s="2174"/>
      <c r="C313" s="2174"/>
      <c r="D313" s="2174"/>
      <c r="E313" s="2174"/>
      <c r="F313" s="2174"/>
      <c r="G313" s="2174"/>
      <c r="H313" s="2174"/>
      <c r="I313" s="2174"/>
      <c r="J313" s="2174"/>
      <c r="K313" s="2175"/>
      <c r="L313" s="2176"/>
      <c r="M313" s="2174"/>
      <c r="N313" s="2174"/>
      <c r="O313" s="2174"/>
      <c r="P313" s="2215"/>
      <c r="Q313" s="2174"/>
      <c r="R313" s="2174"/>
      <c r="S313" s="2174"/>
      <c r="T313" s="2174"/>
      <c r="U313" s="2174"/>
      <c r="V313" s="2174"/>
      <c r="W313" s="2174"/>
      <c r="X313" s="2174"/>
      <c r="Y313" s="2174"/>
      <c r="Z313" s="2174"/>
      <c r="AA313" s="2174"/>
      <c r="AB313" s="2174"/>
      <c r="AC313" s="2174"/>
    </row>
    <row r="314" spans="1:29">
      <c r="A314" s="2174"/>
      <c r="B314" s="2174"/>
      <c r="C314" s="2174"/>
      <c r="D314" s="2174"/>
      <c r="E314" s="2174"/>
      <c r="F314" s="2174"/>
      <c r="G314" s="2174"/>
      <c r="H314" s="2174"/>
      <c r="I314" s="2174"/>
      <c r="J314" s="2174"/>
      <c r="K314" s="2175"/>
      <c r="L314" s="2176"/>
      <c r="M314" s="2174"/>
      <c r="N314" s="2174"/>
      <c r="O314" s="2174"/>
      <c r="P314" s="2215"/>
      <c r="Q314" s="2174"/>
      <c r="R314" s="2174"/>
      <c r="S314" s="2174"/>
      <c r="T314" s="2174"/>
      <c r="U314" s="2174"/>
      <c r="V314" s="2174"/>
      <c r="W314" s="2174"/>
      <c r="X314" s="2174"/>
      <c r="Y314" s="2174"/>
      <c r="Z314" s="2174"/>
      <c r="AA314" s="2174"/>
      <c r="AB314" s="2174"/>
      <c r="AC314" s="2174"/>
    </row>
    <row r="315" spans="1:29">
      <c r="A315" s="2174"/>
      <c r="B315" s="2174"/>
      <c r="C315" s="2174"/>
      <c r="D315" s="2174"/>
      <c r="E315" s="2174"/>
      <c r="F315" s="2174"/>
      <c r="G315" s="2174"/>
      <c r="H315" s="2174"/>
      <c r="I315" s="2174"/>
      <c r="J315" s="2174"/>
      <c r="K315" s="2175"/>
      <c r="L315" s="2176"/>
      <c r="M315" s="2174"/>
      <c r="N315" s="2174"/>
      <c r="O315" s="2174"/>
      <c r="P315" s="2215"/>
      <c r="Q315" s="2174"/>
      <c r="R315" s="2174"/>
      <c r="S315" s="2174"/>
      <c r="T315" s="2174"/>
      <c r="U315" s="2174"/>
      <c r="V315" s="2174"/>
      <c r="W315" s="2174"/>
      <c r="X315" s="2174"/>
      <c r="Y315" s="2174"/>
      <c r="Z315" s="2174"/>
      <c r="AA315" s="2174"/>
      <c r="AB315" s="2174"/>
      <c r="AC315" s="2174"/>
    </row>
    <row r="316" spans="1:29">
      <c r="A316" s="2174"/>
      <c r="B316" s="2174"/>
      <c r="C316" s="2174"/>
      <c r="D316" s="2174"/>
      <c r="E316" s="2174"/>
      <c r="F316" s="2174"/>
      <c r="G316" s="2174"/>
      <c r="H316" s="2174"/>
      <c r="I316" s="2174"/>
      <c r="J316" s="2174"/>
      <c r="K316" s="2175"/>
      <c r="L316" s="2176"/>
      <c r="M316" s="2174"/>
      <c r="N316" s="2174"/>
      <c r="O316" s="2174"/>
      <c r="P316" s="2215"/>
      <c r="Q316" s="2174"/>
      <c r="R316" s="2174"/>
      <c r="S316" s="2174"/>
      <c r="T316" s="2174"/>
      <c r="U316" s="2174"/>
      <c r="V316" s="2174"/>
      <c r="W316" s="2174"/>
      <c r="X316" s="2174"/>
      <c r="Y316" s="2174"/>
      <c r="Z316" s="2174"/>
      <c r="AA316" s="2174"/>
      <c r="AB316" s="2174"/>
      <c r="AC316" s="2174"/>
    </row>
    <row r="317" spans="1:29">
      <c r="A317" s="2174"/>
      <c r="B317" s="2174"/>
      <c r="C317" s="2174"/>
      <c r="D317" s="2174"/>
      <c r="E317" s="2174"/>
      <c r="F317" s="2174"/>
      <c r="G317" s="2174"/>
      <c r="H317" s="2174"/>
      <c r="I317" s="2174"/>
      <c r="J317" s="2174"/>
      <c r="K317" s="2175"/>
      <c r="L317" s="2176"/>
      <c r="M317" s="2174"/>
      <c r="N317" s="2174"/>
      <c r="O317" s="2174"/>
      <c r="P317" s="2215"/>
      <c r="Q317" s="2174"/>
      <c r="R317" s="2174"/>
      <c r="S317" s="2174"/>
      <c r="T317" s="2174"/>
      <c r="U317" s="2174"/>
      <c r="V317" s="2174"/>
      <c r="W317" s="2174"/>
      <c r="X317" s="2174"/>
      <c r="Y317" s="2174"/>
      <c r="Z317" s="2174"/>
      <c r="AA317" s="2174"/>
      <c r="AB317" s="2174"/>
      <c r="AC317" s="2174"/>
    </row>
    <row r="318" spans="1:29">
      <c r="A318" s="2174"/>
      <c r="B318" s="2174"/>
      <c r="C318" s="2174"/>
      <c r="D318" s="2174"/>
      <c r="E318" s="2174"/>
      <c r="F318" s="2174"/>
      <c r="G318" s="2174"/>
      <c r="H318" s="2174"/>
      <c r="I318" s="2174"/>
      <c r="J318" s="2174"/>
      <c r="K318" s="2175"/>
      <c r="L318" s="2176"/>
      <c r="M318" s="2174"/>
      <c r="N318" s="2174"/>
      <c r="O318" s="2174"/>
      <c r="P318" s="2215"/>
      <c r="Q318" s="2174"/>
      <c r="R318" s="2174"/>
      <c r="S318" s="2174"/>
      <c r="T318" s="2174"/>
      <c r="U318" s="2174"/>
      <c r="V318" s="2174"/>
      <c r="W318" s="2174"/>
      <c r="X318" s="2174"/>
      <c r="Y318" s="2174"/>
      <c r="Z318" s="2174"/>
      <c r="AA318" s="2174"/>
      <c r="AB318" s="2174"/>
      <c r="AC318" s="2174"/>
    </row>
    <row r="319" spans="1:29">
      <c r="A319" s="2174"/>
      <c r="B319" s="2174"/>
      <c r="C319" s="2174"/>
      <c r="D319" s="2174"/>
      <c r="E319" s="2174"/>
      <c r="F319" s="2174"/>
      <c r="G319" s="2174"/>
      <c r="H319" s="2174"/>
      <c r="I319" s="2174"/>
      <c r="J319" s="2174"/>
      <c r="K319" s="2175"/>
      <c r="L319" s="2176"/>
      <c r="M319" s="2174"/>
      <c r="N319" s="2174"/>
      <c r="O319" s="2174"/>
      <c r="P319" s="2215"/>
      <c r="Q319" s="2174"/>
      <c r="R319" s="2174"/>
      <c r="S319" s="2174"/>
      <c r="T319" s="2174"/>
      <c r="U319" s="2174"/>
      <c r="V319" s="2174"/>
      <c r="W319" s="2174"/>
      <c r="X319" s="2174"/>
      <c r="Y319" s="2174"/>
      <c r="Z319" s="2174"/>
      <c r="AA319" s="2174"/>
      <c r="AB319" s="2174"/>
      <c r="AC319" s="2174"/>
    </row>
    <row r="320" spans="1:29">
      <c r="A320" s="2174"/>
      <c r="B320" s="2174"/>
      <c r="C320" s="2174"/>
      <c r="D320" s="2174"/>
      <c r="E320" s="2174"/>
      <c r="F320" s="2174"/>
      <c r="G320" s="2174"/>
      <c r="H320" s="2174"/>
      <c r="I320" s="2174"/>
      <c r="J320" s="2174"/>
      <c r="K320" s="2175"/>
      <c r="L320" s="2176"/>
      <c r="M320" s="2174"/>
      <c r="N320" s="2174"/>
      <c r="O320" s="2174"/>
      <c r="P320" s="2215"/>
      <c r="Q320" s="2174"/>
      <c r="R320" s="2174"/>
      <c r="S320" s="2174"/>
      <c r="T320" s="2174"/>
      <c r="U320" s="2174"/>
      <c r="V320" s="2174"/>
      <c r="W320" s="2174"/>
      <c r="X320" s="2174"/>
      <c r="Y320" s="2174"/>
      <c r="Z320" s="2174"/>
      <c r="AA320" s="2174"/>
      <c r="AB320" s="2174"/>
      <c r="AC320" s="2174"/>
    </row>
    <row r="321" spans="1:29">
      <c r="A321" s="2174"/>
      <c r="B321" s="2174"/>
      <c r="C321" s="2174"/>
      <c r="D321" s="2174"/>
      <c r="E321" s="2174"/>
      <c r="F321" s="2174"/>
      <c r="G321" s="2174"/>
      <c r="H321" s="2174"/>
      <c r="I321" s="2174"/>
      <c r="J321" s="2174"/>
      <c r="K321" s="2175"/>
      <c r="L321" s="2176"/>
      <c r="M321" s="2174"/>
      <c r="N321" s="2174"/>
      <c r="O321" s="2174"/>
      <c r="P321" s="2215"/>
      <c r="Q321" s="2174"/>
      <c r="R321" s="2174"/>
      <c r="S321" s="2174"/>
      <c r="T321" s="2174"/>
      <c r="U321" s="2174"/>
      <c r="V321" s="2174"/>
      <c r="W321" s="2174"/>
      <c r="X321" s="2174"/>
      <c r="Y321" s="2174"/>
      <c r="Z321" s="2174"/>
      <c r="AA321" s="2174"/>
      <c r="AB321" s="2174"/>
      <c r="AC321" s="2174"/>
    </row>
    <row r="322" spans="1:29">
      <c r="A322" s="2174"/>
      <c r="B322" s="2174"/>
      <c r="C322" s="2174"/>
      <c r="D322" s="2174"/>
      <c r="E322" s="2174"/>
      <c r="F322" s="2174"/>
      <c r="G322" s="2174"/>
      <c r="H322" s="2174"/>
      <c r="I322" s="2174"/>
      <c r="J322" s="2174"/>
      <c r="K322" s="2175"/>
      <c r="L322" s="2176"/>
      <c r="M322" s="2174"/>
      <c r="N322" s="2174"/>
      <c r="O322" s="2174"/>
      <c r="P322" s="2215"/>
      <c r="Q322" s="2174"/>
      <c r="R322" s="2174"/>
      <c r="S322" s="2174"/>
      <c r="T322" s="2174"/>
      <c r="U322" s="2174"/>
      <c r="V322" s="2174"/>
      <c r="W322" s="2174"/>
      <c r="X322" s="2174"/>
      <c r="Y322" s="2174"/>
      <c r="Z322" s="2174"/>
      <c r="AA322" s="2174"/>
      <c r="AB322" s="2174"/>
      <c r="AC322" s="2174"/>
    </row>
    <row r="323" spans="1:29">
      <c r="A323" s="2174"/>
      <c r="B323" s="2174"/>
      <c r="C323" s="2174"/>
      <c r="D323" s="2174"/>
      <c r="E323" s="2174"/>
      <c r="F323" s="2174"/>
      <c r="G323" s="2174"/>
      <c r="H323" s="2174"/>
      <c r="I323" s="2174"/>
      <c r="J323" s="2174"/>
      <c r="K323" s="2175"/>
      <c r="L323" s="2176"/>
      <c r="M323" s="2174"/>
      <c r="N323" s="2174"/>
      <c r="O323" s="2174"/>
      <c r="P323" s="2215"/>
      <c r="Q323" s="2174"/>
      <c r="R323" s="2174"/>
      <c r="S323" s="2174"/>
      <c r="T323" s="2174"/>
      <c r="U323" s="2174"/>
      <c r="V323" s="2174"/>
      <c r="W323" s="2174"/>
      <c r="X323" s="2174"/>
      <c r="Y323" s="2174"/>
      <c r="Z323" s="2174"/>
      <c r="AA323" s="2174"/>
      <c r="AB323" s="2174"/>
      <c r="AC323" s="2174"/>
    </row>
    <row r="324" spans="1:29">
      <c r="A324" s="2174"/>
      <c r="B324" s="2174"/>
      <c r="C324" s="2174"/>
      <c r="D324" s="2174"/>
      <c r="E324" s="2174"/>
      <c r="F324" s="2174"/>
      <c r="G324" s="2174"/>
      <c r="H324" s="2174"/>
      <c r="I324" s="2174"/>
      <c r="J324" s="2174"/>
      <c r="K324" s="2175"/>
      <c r="L324" s="2176"/>
      <c r="M324" s="2174"/>
      <c r="N324" s="2174"/>
      <c r="O324" s="2174"/>
      <c r="P324" s="2215"/>
      <c r="Q324" s="2174"/>
      <c r="R324" s="2174"/>
      <c r="S324" s="2174"/>
      <c r="T324" s="2174"/>
      <c r="U324" s="2174"/>
      <c r="V324" s="2174"/>
      <c r="W324" s="2174"/>
      <c r="X324" s="2174"/>
      <c r="Y324" s="2174"/>
      <c r="Z324" s="2174"/>
      <c r="AA324" s="2174"/>
      <c r="AB324" s="2174"/>
      <c r="AC324" s="2174"/>
    </row>
    <row r="325" spans="1:29">
      <c r="A325" s="2174"/>
      <c r="B325" s="2174"/>
      <c r="C325" s="2174"/>
      <c r="D325" s="2174"/>
      <c r="E325" s="2174"/>
      <c r="F325" s="2174"/>
      <c r="G325" s="2174"/>
      <c r="H325" s="2174"/>
      <c r="I325" s="2174"/>
      <c r="J325" s="2174"/>
      <c r="K325" s="2175"/>
      <c r="L325" s="2176"/>
      <c r="M325" s="2174"/>
      <c r="N325" s="2174"/>
      <c r="O325" s="2174"/>
      <c r="P325" s="2215"/>
      <c r="Q325" s="2174"/>
      <c r="R325" s="2174"/>
      <c r="S325" s="2174"/>
      <c r="T325" s="2174"/>
      <c r="U325" s="2174"/>
      <c r="V325" s="2174"/>
      <c r="W325" s="2174"/>
      <c r="X325" s="2174"/>
      <c r="Y325" s="2174"/>
      <c r="Z325" s="2174"/>
      <c r="AA325" s="2174"/>
      <c r="AB325" s="2174"/>
      <c r="AC325" s="2174"/>
    </row>
    <row r="326" spans="1:29">
      <c r="A326" s="2174"/>
      <c r="B326" s="2174"/>
      <c r="C326" s="2174"/>
      <c r="D326" s="2174"/>
      <c r="E326" s="2174"/>
      <c r="F326" s="2174"/>
      <c r="G326" s="2174"/>
      <c r="H326" s="2174"/>
      <c r="I326" s="2174"/>
      <c r="J326" s="2174"/>
      <c r="K326" s="2175"/>
      <c r="L326" s="2176"/>
      <c r="M326" s="2174"/>
      <c r="N326" s="2174"/>
      <c r="O326" s="2174"/>
      <c r="P326" s="2215"/>
      <c r="Q326" s="2174"/>
      <c r="R326" s="2174"/>
      <c r="S326" s="2174"/>
      <c r="T326" s="2174"/>
      <c r="U326" s="2174"/>
      <c r="V326" s="2174"/>
      <c r="W326" s="2174"/>
      <c r="X326" s="2174"/>
      <c r="Y326" s="2174"/>
      <c r="Z326" s="2174"/>
      <c r="AA326" s="2174"/>
      <c r="AB326" s="2174"/>
      <c r="AC326" s="2174"/>
    </row>
    <row r="327" spans="1:29">
      <c r="A327" s="2174"/>
      <c r="B327" s="2174"/>
      <c r="C327" s="2174"/>
      <c r="D327" s="2174"/>
      <c r="E327" s="2174"/>
      <c r="F327" s="2174"/>
      <c r="G327" s="2174"/>
      <c r="H327" s="2174"/>
      <c r="I327" s="2174"/>
      <c r="J327" s="2174"/>
      <c r="K327" s="2175"/>
      <c r="L327" s="2176"/>
      <c r="M327" s="2174"/>
      <c r="N327" s="2174"/>
      <c r="O327" s="2174"/>
      <c r="P327" s="2215"/>
      <c r="Q327" s="2174"/>
      <c r="R327" s="2174"/>
      <c r="S327" s="2174"/>
      <c r="T327" s="2174"/>
      <c r="U327" s="2174"/>
      <c r="V327" s="2174"/>
      <c r="W327" s="2174"/>
      <c r="X327" s="2174"/>
      <c r="Y327" s="2174"/>
      <c r="Z327" s="2174"/>
      <c r="AA327" s="2174"/>
      <c r="AB327" s="2174"/>
      <c r="AC327" s="2174"/>
    </row>
    <row r="328" spans="1:29">
      <c r="A328" s="2174"/>
      <c r="B328" s="2174"/>
      <c r="C328" s="2174"/>
      <c r="D328" s="2174"/>
      <c r="E328" s="2174"/>
      <c r="F328" s="2174"/>
      <c r="G328" s="2174"/>
      <c r="H328" s="2174"/>
      <c r="I328" s="2174"/>
      <c r="J328" s="2174"/>
      <c r="K328" s="2175"/>
      <c r="L328" s="2176"/>
      <c r="M328" s="2174"/>
      <c r="N328" s="2174"/>
      <c r="O328" s="2174"/>
      <c r="P328" s="2215"/>
      <c r="Q328" s="2174"/>
      <c r="R328" s="2174"/>
      <c r="S328" s="2174"/>
      <c r="T328" s="2174"/>
      <c r="U328" s="2174"/>
      <c r="V328" s="2174"/>
      <c r="W328" s="2174"/>
      <c r="X328" s="2174"/>
      <c r="Y328" s="2174"/>
      <c r="Z328" s="2174"/>
      <c r="AA328" s="2174"/>
      <c r="AB328" s="2174"/>
      <c r="AC328" s="2174"/>
    </row>
    <row r="329" spans="1:29">
      <c r="A329" s="2174"/>
      <c r="B329" s="2174"/>
      <c r="C329" s="2174"/>
      <c r="D329" s="2174"/>
      <c r="E329" s="2174"/>
      <c r="F329" s="2174"/>
      <c r="G329" s="2174"/>
      <c r="H329" s="2174"/>
      <c r="I329" s="2174"/>
      <c r="J329" s="2174"/>
      <c r="K329" s="2175"/>
      <c r="L329" s="2176"/>
      <c r="M329" s="2174"/>
      <c r="N329" s="2174"/>
      <c r="O329" s="2174"/>
      <c r="P329" s="2215"/>
      <c r="Q329" s="2174"/>
      <c r="R329" s="2174"/>
      <c r="S329" s="2174"/>
      <c r="T329" s="2174"/>
      <c r="U329" s="2174"/>
      <c r="V329" s="2174"/>
      <c r="W329" s="2174"/>
      <c r="X329" s="2174"/>
      <c r="Y329" s="2174"/>
      <c r="Z329" s="2174"/>
      <c r="AA329" s="2174"/>
      <c r="AB329" s="2174"/>
      <c r="AC329" s="2174"/>
    </row>
    <row r="330" spans="1:29">
      <c r="A330" s="2174"/>
      <c r="B330" s="2174"/>
      <c r="C330" s="2174"/>
      <c r="D330" s="2174"/>
      <c r="E330" s="2174"/>
      <c r="F330" s="2174"/>
      <c r="G330" s="2174"/>
      <c r="H330" s="2174"/>
      <c r="I330" s="2174"/>
      <c r="J330" s="2174"/>
      <c r="K330" s="2175"/>
      <c r="L330" s="2176"/>
      <c r="M330" s="2174"/>
      <c r="N330" s="2174"/>
      <c r="O330" s="2174"/>
      <c r="P330" s="2215"/>
      <c r="Q330" s="2174"/>
      <c r="R330" s="2174"/>
      <c r="S330" s="2174"/>
      <c r="T330" s="2174"/>
      <c r="U330" s="2174"/>
      <c r="V330" s="2174"/>
      <c r="W330" s="2174"/>
      <c r="X330" s="2174"/>
      <c r="Y330" s="2174"/>
      <c r="Z330" s="2174"/>
      <c r="AA330" s="2174"/>
      <c r="AB330" s="2174"/>
      <c r="AC330" s="2174"/>
    </row>
    <row r="331" spans="1:29">
      <c r="A331" s="2174"/>
      <c r="B331" s="2174"/>
      <c r="C331" s="2174"/>
      <c r="D331" s="2174"/>
      <c r="E331" s="2174"/>
      <c r="F331" s="2174"/>
      <c r="G331" s="2174"/>
      <c r="H331" s="2174"/>
      <c r="I331" s="2174"/>
      <c r="J331" s="2174"/>
      <c r="K331" s="2175"/>
      <c r="L331" s="2176"/>
      <c r="M331" s="2174"/>
      <c r="N331" s="2174"/>
      <c r="O331" s="2174"/>
      <c r="P331" s="2215"/>
      <c r="Q331" s="2174"/>
      <c r="R331" s="2174"/>
      <c r="S331" s="2174"/>
      <c r="T331" s="2174"/>
      <c r="U331" s="2174"/>
      <c r="V331" s="2174"/>
      <c r="W331" s="2174"/>
      <c r="X331" s="2174"/>
      <c r="Y331" s="2174"/>
      <c r="Z331" s="2174"/>
      <c r="AA331" s="2174"/>
      <c r="AB331" s="2174"/>
      <c r="AC331" s="2174"/>
    </row>
    <row r="332" spans="1:29">
      <c r="A332" s="2174"/>
      <c r="B332" s="2174"/>
      <c r="C332" s="2174"/>
      <c r="D332" s="2174"/>
      <c r="E332" s="2174"/>
      <c r="F332" s="2174"/>
      <c r="G332" s="2174"/>
      <c r="H332" s="2174"/>
      <c r="I332" s="2174"/>
      <c r="J332" s="2174"/>
      <c r="K332" s="2175"/>
      <c r="L332" s="2176"/>
      <c r="M332" s="2174"/>
      <c r="N332" s="2174"/>
      <c r="O332" s="2174"/>
      <c r="P332" s="2215"/>
      <c r="Q332" s="2174"/>
      <c r="R332" s="2174"/>
      <c r="S332" s="2174"/>
      <c r="T332" s="2174"/>
      <c r="U332" s="2174"/>
      <c r="V332" s="2174"/>
      <c r="W332" s="2174"/>
      <c r="X332" s="2174"/>
      <c r="Y332" s="2174"/>
      <c r="Z332" s="2174"/>
      <c r="AA332" s="2174"/>
      <c r="AB332" s="2174"/>
      <c r="AC332" s="2174"/>
    </row>
    <row r="333" spans="1:29">
      <c r="A333" s="2174"/>
      <c r="B333" s="2174"/>
      <c r="C333" s="2174"/>
      <c r="D333" s="2174"/>
      <c r="E333" s="2174"/>
      <c r="F333" s="2174"/>
      <c r="G333" s="2174"/>
      <c r="H333" s="2174"/>
      <c r="I333" s="2174"/>
      <c r="J333" s="2174"/>
      <c r="K333" s="2175"/>
      <c r="L333" s="2176"/>
      <c r="M333" s="2174"/>
      <c r="N333" s="2174"/>
      <c r="O333" s="2174"/>
      <c r="P333" s="2215"/>
      <c r="Q333" s="2174"/>
      <c r="R333" s="2174"/>
      <c r="S333" s="2174"/>
      <c r="T333" s="2174"/>
      <c r="U333" s="2174"/>
      <c r="V333" s="2174"/>
      <c r="W333" s="2174"/>
      <c r="X333" s="2174"/>
      <c r="Y333" s="2174"/>
      <c r="Z333" s="2174"/>
      <c r="AA333" s="2174"/>
      <c r="AB333" s="2174"/>
      <c r="AC333" s="2174"/>
    </row>
    <row r="334" spans="1:29">
      <c r="A334" s="2174"/>
      <c r="B334" s="2174"/>
      <c r="C334" s="2174"/>
      <c r="D334" s="2174"/>
      <c r="E334" s="2174"/>
      <c r="F334" s="2174"/>
      <c r="G334" s="2174"/>
      <c r="H334" s="2174"/>
      <c r="I334" s="2174"/>
      <c r="J334" s="2174"/>
      <c r="K334" s="2175"/>
      <c r="L334" s="2176"/>
      <c r="M334" s="2174"/>
      <c r="N334" s="2174"/>
      <c r="O334" s="2174"/>
      <c r="P334" s="2215"/>
      <c r="Q334" s="2174"/>
      <c r="R334" s="2174"/>
      <c r="S334" s="2174"/>
      <c r="T334" s="2174"/>
      <c r="U334" s="2174"/>
      <c r="V334" s="2174"/>
      <c r="W334" s="2174"/>
      <c r="X334" s="2174"/>
      <c r="Y334" s="2174"/>
      <c r="Z334" s="2174"/>
      <c r="AA334" s="2174"/>
      <c r="AB334" s="2174"/>
      <c r="AC334" s="2174"/>
    </row>
    <row r="335" spans="1:29">
      <c r="A335" s="2174"/>
      <c r="B335" s="2174"/>
      <c r="C335" s="2174"/>
      <c r="D335" s="2174"/>
      <c r="E335" s="2174"/>
      <c r="F335" s="2174"/>
      <c r="G335" s="2174"/>
      <c r="H335" s="2174"/>
      <c r="I335" s="2174"/>
      <c r="J335" s="2174"/>
      <c r="K335" s="2175"/>
      <c r="L335" s="2176"/>
      <c r="M335" s="2174"/>
      <c r="N335" s="2174"/>
      <c r="O335" s="2174"/>
      <c r="P335" s="2215"/>
      <c r="Q335" s="2174"/>
      <c r="R335" s="2174"/>
      <c r="S335" s="2174"/>
      <c r="T335" s="2174"/>
      <c r="U335" s="2174"/>
      <c r="V335" s="2174"/>
      <c r="W335" s="2174"/>
      <c r="X335" s="2174"/>
      <c r="Y335" s="2174"/>
      <c r="Z335" s="2174"/>
      <c r="AA335" s="2174"/>
      <c r="AB335" s="2174"/>
      <c r="AC335" s="2174"/>
    </row>
    <row r="336" spans="1:29">
      <c r="A336" s="2174"/>
      <c r="B336" s="2174"/>
      <c r="C336" s="2174"/>
      <c r="D336" s="2174"/>
      <c r="E336" s="2174"/>
      <c r="F336" s="2174"/>
      <c r="G336" s="2174"/>
      <c r="H336" s="2174"/>
      <c r="I336" s="2174"/>
      <c r="J336" s="2174"/>
      <c r="K336" s="2175"/>
      <c r="L336" s="2176"/>
      <c r="M336" s="2174"/>
      <c r="N336" s="2174"/>
      <c r="O336" s="2174"/>
      <c r="P336" s="2215"/>
      <c r="Q336" s="2174"/>
      <c r="R336" s="2174"/>
      <c r="S336" s="2174"/>
      <c r="T336" s="2174"/>
      <c r="U336" s="2174"/>
      <c r="V336" s="2174"/>
      <c r="W336" s="2174"/>
      <c r="X336" s="2174"/>
      <c r="Y336" s="2174"/>
      <c r="Z336" s="2174"/>
      <c r="AA336" s="2174"/>
      <c r="AB336" s="2174"/>
      <c r="AC336" s="2174"/>
    </row>
    <row r="337" spans="1:29">
      <c r="A337" s="2174"/>
      <c r="B337" s="2174"/>
      <c r="C337" s="2174"/>
      <c r="D337" s="2174"/>
      <c r="E337" s="2174"/>
      <c r="F337" s="2174"/>
      <c r="G337" s="2174"/>
      <c r="H337" s="2174"/>
      <c r="I337" s="2174"/>
      <c r="J337" s="2174"/>
      <c r="K337" s="2175"/>
      <c r="L337" s="2176"/>
      <c r="M337" s="2174"/>
      <c r="N337" s="2174"/>
      <c r="O337" s="2174"/>
      <c r="P337" s="2215"/>
      <c r="Q337" s="2174"/>
      <c r="R337" s="2174"/>
      <c r="S337" s="2174"/>
      <c r="T337" s="2174"/>
      <c r="U337" s="2174"/>
      <c r="V337" s="2174"/>
      <c r="W337" s="2174"/>
      <c r="X337" s="2174"/>
      <c r="Y337" s="2174"/>
      <c r="Z337" s="2174"/>
      <c r="AA337" s="2174"/>
      <c r="AB337" s="2174"/>
      <c r="AC337" s="2174"/>
    </row>
    <row r="338" spans="1:29">
      <c r="A338" s="2174"/>
      <c r="B338" s="2174"/>
      <c r="C338" s="2174"/>
      <c r="D338" s="2174"/>
      <c r="E338" s="2174"/>
      <c r="F338" s="2174"/>
      <c r="G338" s="2174"/>
      <c r="H338" s="2174"/>
      <c r="I338" s="2174"/>
      <c r="J338" s="2174"/>
      <c r="K338" s="2175"/>
      <c r="L338" s="2176"/>
      <c r="M338" s="2174"/>
      <c r="N338" s="2174"/>
      <c r="O338" s="2174"/>
      <c r="P338" s="2215"/>
      <c r="Q338" s="2174"/>
      <c r="R338" s="2174"/>
      <c r="S338" s="2174"/>
      <c r="T338" s="2174"/>
      <c r="U338" s="2174"/>
      <c r="V338" s="2174"/>
      <c r="W338" s="2174"/>
      <c r="X338" s="2174"/>
      <c r="Y338" s="2174"/>
      <c r="Z338" s="2174"/>
      <c r="AA338" s="2174"/>
      <c r="AB338" s="2174"/>
      <c r="AC338" s="2174"/>
    </row>
    <row r="339" spans="1:29">
      <c r="A339" s="2174"/>
      <c r="B339" s="2174"/>
      <c r="C339" s="2174"/>
      <c r="D339" s="2174"/>
      <c r="E339" s="2174"/>
      <c r="F339" s="2174"/>
      <c r="G339" s="2174"/>
      <c r="H339" s="2174"/>
      <c r="I339" s="2174"/>
      <c r="J339" s="2174"/>
      <c r="K339" s="2175"/>
      <c r="L339" s="2176"/>
      <c r="M339" s="2174"/>
      <c r="N339" s="2174"/>
      <c r="O339" s="2174"/>
      <c r="P339" s="2215"/>
      <c r="Q339" s="2174"/>
      <c r="R339" s="2174"/>
      <c r="S339" s="2174"/>
      <c r="T339" s="2174"/>
      <c r="U339" s="2174"/>
      <c r="V339" s="2174"/>
      <c r="W339" s="2174"/>
      <c r="X339" s="2174"/>
      <c r="Y339" s="2174"/>
      <c r="Z339" s="2174"/>
      <c r="AA339" s="2174"/>
      <c r="AB339" s="2174"/>
      <c r="AC339" s="2174"/>
    </row>
    <row r="340" spans="1:29">
      <c r="A340" s="2174"/>
      <c r="B340" s="2174"/>
      <c r="C340" s="2174"/>
      <c r="D340" s="2174"/>
      <c r="E340" s="2174"/>
      <c r="F340" s="2174"/>
      <c r="G340" s="2174"/>
      <c r="H340" s="2174"/>
      <c r="I340" s="2174"/>
      <c r="J340" s="2174"/>
      <c r="K340" s="2175"/>
      <c r="L340" s="2176"/>
      <c r="M340" s="2174"/>
      <c r="N340" s="2174"/>
      <c r="O340" s="2174"/>
      <c r="P340" s="2215"/>
      <c r="Q340" s="2174"/>
      <c r="R340" s="2174"/>
      <c r="S340" s="2174"/>
      <c r="T340" s="2174"/>
      <c r="U340" s="2174"/>
      <c r="V340" s="2174"/>
      <c r="W340" s="2174"/>
      <c r="X340" s="2174"/>
      <c r="Y340" s="2174"/>
      <c r="Z340" s="2174"/>
      <c r="AA340" s="2174"/>
      <c r="AB340" s="2174"/>
      <c r="AC340" s="2174"/>
    </row>
    <row r="341" spans="1:29">
      <c r="A341" s="2174"/>
      <c r="B341" s="2174"/>
      <c r="C341" s="2174"/>
      <c r="D341" s="2174"/>
      <c r="E341" s="2174"/>
      <c r="F341" s="2174"/>
      <c r="G341" s="2174"/>
      <c r="H341" s="2174"/>
      <c r="I341" s="2174"/>
      <c r="J341" s="2174"/>
      <c r="K341" s="2175"/>
      <c r="L341" s="2176"/>
      <c r="M341" s="2174"/>
      <c r="N341" s="2174"/>
      <c r="O341" s="2174"/>
      <c r="P341" s="2215"/>
      <c r="Q341" s="2174"/>
      <c r="R341" s="2174"/>
      <c r="S341" s="2174"/>
      <c r="T341" s="2174"/>
      <c r="U341" s="2174"/>
      <c r="V341" s="2174"/>
      <c r="W341" s="2174"/>
      <c r="X341" s="2174"/>
      <c r="Y341" s="2174"/>
      <c r="Z341" s="2174"/>
      <c r="AA341" s="2174"/>
      <c r="AB341" s="2174"/>
      <c r="AC341" s="2174"/>
    </row>
    <row r="342" spans="1:29">
      <c r="A342" s="2174"/>
      <c r="B342" s="2174"/>
      <c r="C342" s="2174"/>
      <c r="D342" s="2174"/>
      <c r="E342" s="2174"/>
      <c r="F342" s="2174"/>
      <c r="G342" s="2174"/>
      <c r="H342" s="2174"/>
      <c r="I342" s="2174"/>
      <c r="J342" s="2174"/>
      <c r="K342" s="2175"/>
      <c r="L342" s="2176"/>
      <c r="M342" s="2174"/>
      <c r="N342" s="2174"/>
      <c r="O342" s="2174"/>
      <c r="P342" s="2215"/>
      <c r="Q342" s="2174"/>
      <c r="R342" s="2174"/>
      <c r="S342" s="2174"/>
      <c r="T342" s="2174"/>
      <c r="U342" s="2174"/>
      <c r="V342" s="2174"/>
      <c r="W342" s="2174"/>
      <c r="X342" s="2174"/>
      <c r="Y342" s="2174"/>
      <c r="Z342" s="2174"/>
      <c r="AA342" s="2174"/>
      <c r="AB342" s="2174"/>
      <c r="AC342" s="2174"/>
    </row>
    <row r="343" spans="1:29">
      <c r="A343" s="2174"/>
      <c r="B343" s="2174"/>
      <c r="C343" s="2174"/>
      <c r="D343" s="2174"/>
      <c r="E343" s="2174"/>
      <c r="F343" s="2174"/>
      <c r="G343" s="2174"/>
      <c r="H343" s="2174"/>
      <c r="I343" s="2174"/>
      <c r="J343" s="2174"/>
      <c r="K343" s="2175"/>
      <c r="L343" s="2176"/>
      <c r="M343" s="2174"/>
      <c r="N343" s="2174"/>
      <c r="O343" s="2174"/>
      <c r="P343" s="2215"/>
      <c r="Q343" s="2174"/>
      <c r="R343" s="2174"/>
      <c r="S343" s="2174"/>
      <c r="T343" s="2174"/>
      <c r="U343" s="2174"/>
      <c r="V343" s="2174"/>
      <c r="W343" s="2174"/>
      <c r="X343" s="2174"/>
      <c r="Y343" s="2174"/>
      <c r="Z343" s="2174"/>
      <c r="AA343" s="2174"/>
      <c r="AB343" s="2174"/>
      <c r="AC343" s="2174"/>
    </row>
    <row r="344" spans="1:29">
      <c r="A344" s="2174"/>
      <c r="B344" s="2174"/>
      <c r="C344" s="2174"/>
      <c r="D344" s="2174"/>
      <c r="E344" s="2174"/>
      <c r="F344" s="2174"/>
      <c r="G344" s="2174"/>
      <c r="H344" s="2174"/>
      <c r="I344" s="2174"/>
      <c r="J344" s="2174"/>
      <c r="K344" s="2175"/>
      <c r="L344" s="2176"/>
      <c r="M344" s="2174"/>
      <c r="N344" s="2174"/>
      <c r="O344" s="2174"/>
      <c r="P344" s="2215"/>
      <c r="Q344" s="2174"/>
      <c r="R344" s="2174"/>
      <c r="S344" s="2174"/>
      <c r="T344" s="2174"/>
      <c r="U344" s="2174"/>
      <c r="V344" s="2174"/>
      <c r="W344" s="2174"/>
      <c r="X344" s="2174"/>
      <c r="Y344" s="2174"/>
      <c r="Z344" s="2174"/>
      <c r="AA344" s="2174"/>
      <c r="AB344" s="2174"/>
      <c r="AC344" s="2174"/>
    </row>
    <row r="345" spans="1:29">
      <c r="A345" s="2174"/>
      <c r="B345" s="2174"/>
      <c r="C345" s="2174"/>
      <c r="D345" s="2174"/>
      <c r="E345" s="2174"/>
      <c r="F345" s="2174"/>
      <c r="G345" s="2174"/>
      <c r="H345" s="2174"/>
      <c r="I345" s="2174"/>
      <c r="J345" s="2174"/>
      <c r="K345" s="2175"/>
      <c r="L345" s="2176"/>
      <c r="M345" s="2174"/>
      <c r="N345" s="2174"/>
      <c r="O345" s="2174"/>
      <c r="P345" s="2215"/>
      <c r="Q345" s="2174"/>
      <c r="R345" s="2174"/>
      <c r="S345" s="2174"/>
      <c r="T345" s="2174"/>
      <c r="U345" s="2174"/>
      <c r="V345" s="2174"/>
      <c r="W345" s="2174"/>
      <c r="X345" s="2174"/>
      <c r="Y345" s="2174"/>
      <c r="Z345" s="2174"/>
      <c r="AA345" s="2174"/>
      <c r="AB345" s="2174"/>
      <c r="AC345" s="2174"/>
    </row>
    <row r="346" spans="1:29">
      <c r="A346" s="2174"/>
      <c r="B346" s="2174"/>
      <c r="C346" s="2174"/>
      <c r="D346" s="2174"/>
      <c r="E346" s="2174"/>
      <c r="F346" s="2174"/>
      <c r="G346" s="2174"/>
      <c r="H346" s="2174"/>
      <c r="I346" s="2174"/>
      <c r="J346" s="2174"/>
      <c r="K346" s="2175"/>
      <c r="L346" s="2176"/>
      <c r="M346" s="2174"/>
      <c r="N346" s="2174"/>
      <c r="O346" s="2174"/>
      <c r="P346" s="2215"/>
      <c r="Q346" s="2174"/>
      <c r="R346" s="2174"/>
      <c r="S346" s="2174"/>
      <c r="T346" s="2174"/>
      <c r="U346" s="2174"/>
      <c r="V346" s="2174"/>
      <c r="W346" s="2174"/>
      <c r="X346" s="2174"/>
      <c r="Y346" s="2174"/>
      <c r="Z346" s="2174"/>
      <c r="AA346" s="2174"/>
      <c r="AB346" s="2174"/>
      <c r="AC346" s="2174"/>
    </row>
    <row r="347" spans="1:29">
      <c r="A347" s="2174"/>
      <c r="B347" s="2174"/>
      <c r="C347" s="2174"/>
      <c r="D347" s="2174"/>
      <c r="E347" s="2174"/>
      <c r="F347" s="2174"/>
      <c r="G347" s="2174"/>
      <c r="H347" s="2174"/>
      <c r="I347" s="2174"/>
      <c r="J347" s="2174"/>
      <c r="K347" s="2175"/>
      <c r="L347" s="2176"/>
      <c r="M347" s="2174"/>
      <c r="N347" s="2174"/>
      <c r="O347" s="2174"/>
      <c r="P347" s="2215"/>
      <c r="Q347" s="2174"/>
      <c r="R347" s="2174"/>
      <c r="S347" s="2174"/>
      <c r="T347" s="2174"/>
      <c r="U347" s="2174"/>
      <c r="V347" s="2174"/>
      <c r="W347" s="2174"/>
      <c r="X347" s="2174"/>
      <c r="Y347" s="2174"/>
      <c r="Z347" s="2174"/>
      <c r="AA347" s="2174"/>
      <c r="AB347" s="2174"/>
      <c r="AC347" s="2174"/>
    </row>
    <row r="348" spans="1:29">
      <c r="A348" s="2174"/>
      <c r="B348" s="2174"/>
      <c r="C348" s="2174"/>
      <c r="D348" s="2174"/>
      <c r="E348" s="2174"/>
      <c r="F348" s="2174"/>
      <c r="G348" s="2174"/>
      <c r="H348" s="2174"/>
      <c r="I348" s="2174"/>
      <c r="J348" s="2174"/>
      <c r="K348" s="2175"/>
      <c r="L348" s="2176"/>
      <c r="M348" s="2174"/>
      <c r="N348" s="2174"/>
      <c r="O348" s="2174"/>
      <c r="P348" s="2215"/>
      <c r="Q348" s="2174"/>
      <c r="R348" s="2174"/>
      <c r="S348" s="2174"/>
      <c r="T348" s="2174"/>
      <c r="U348" s="2174"/>
      <c r="V348" s="2174"/>
      <c r="W348" s="2174"/>
      <c r="X348" s="2174"/>
      <c r="Y348" s="2174"/>
      <c r="Z348" s="2174"/>
      <c r="AA348" s="2174"/>
      <c r="AB348" s="2174"/>
      <c r="AC348" s="2174"/>
    </row>
    <row r="349" spans="1:29">
      <c r="A349" s="2174"/>
      <c r="B349" s="2174"/>
      <c r="C349" s="2174"/>
      <c r="D349" s="2174"/>
      <c r="E349" s="2174"/>
      <c r="F349" s="2174"/>
      <c r="G349" s="2174"/>
      <c r="H349" s="2174"/>
      <c r="I349" s="2174"/>
      <c r="J349" s="2174"/>
      <c r="K349" s="2175"/>
      <c r="L349" s="2176"/>
      <c r="M349" s="2174"/>
      <c r="N349" s="2174"/>
      <c r="O349" s="2174"/>
      <c r="P349" s="2215"/>
      <c r="Q349" s="2174"/>
      <c r="R349" s="2174"/>
      <c r="S349" s="2174"/>
      <c r="T349" s="2174"/>
      <c r="U349" s="2174"/>
      <c r="V349" s="2174"/>
      <c r="W349" s="2174"/>
      <c r="X349" s="2174"/>
      <c r="Y349" s="2174"/>
      <c r="Z349" s="2174"/>
      <c r="AA349" s="2174"/>
      <c r="AB349" s="2174"/>
      <c r="AC349" s="2174"/>
    </row>
    <row r="350" spans="1:29">
      <c r="A350" s="2174"/>
      <c r="B350" s="2174"/>
      <c r="C350" s="2174"/>
      <c r="D350" s="2174"/>
      <c r="E350" s="2174"/>
      <c r="F350" s="2174"/>
      <c r="G350" s="2174"/>
      <c r="H350" s="2174"/>
      <c r="I350" s="2174"/>
      <c r="J350" s="2174"/>
      <c r="K350" s="2175"/>
      <c r="L350" s="2176"/>
      <c r="M350" s="2174"/>
      <c r="N350" s="2174"/>
      <c r="O350" s="2174"/>
      <c r="P350" s="2215"/>
      <c r="Q350" s="2174"/>
      <c r="R350" s="2174"/>
      <c r="S350" s="2174"/>
      <c r="T350" s="2174"/>
      <c r="U350" s="2174"/>
      <c r="V350" s="2174"/>
      <c r="W350" s="2174"/>
      <c r="X350" s="2174"/>
      <c r="Y350" s="2174"/>
      <c r="Z350" s="2174"/>
      <c r="AA350" s="2174"/>
      <c r="AB350" s="2174"/>
      <c r="AC350" s="2174"/>
    </row>
    <row r="351" spans="1:29">
      <c r="A351" s="2174"/>
      <c r="B351" s="2174"/>
      <c r="C351" s="2174"/>
      <c r="D351" s="2174"/>
      <c r="E351" s="2174"/>
      <c r="F351" s="2174"/>
      <c r="G351" s="2174"/>
      <c r="H351" s="2174"/>
      <c r="I351" s="2174"/>
      <c r="J351" s="2174"/>
      <c r="K351" s="2175"/>
      <c r="L351" s="2176"/>
      <c r="M351" s="2174"/>
      <c r="N351" s="2174"/>
      <c r="O351" s="2174"/>
      <c r="P351" s="2215"/>
      <c r="Q351" s="2174"/>
      <c r="R351" s="2174"/>
      <c r="S351" s="2174"/>
      <c r="T351" s="2174"/>
      <c r="U351" s="2174"/>
      <c r="V351" s="2174"/>
      <c r="W351" s="2174"/>
      <c r="X351" s="2174"/>
      <c r="Y351" s="2174"/>
      <c r="Z351" s="2174"/>
      <c r="AA351" s="2174"/>
      <c r="AB351" s="2174"/>
      <c r="AC351" s="2174"/>
    </row>
    <row r="352" spans="1:29">
      <c r="A352" s="2174"/>
      <c r="B352" s="2174"/>
      <c r="C352" s="2174"/>
      <c r="D352" s="2174"/>
      <c r="E352" s="2174"/>
      <c r="F352" s="2174"/>
      <c r="G352" s="2174"/>
      <c r="H352" s="2174"/>
      <c r="I352" s="2174"/>
      <c r="J352" s="2174"/>
      <c r="K352" s="2175"/>
      <c r="L352" s="2176"/>
      <c r="M352" s="2174"/>
      <c r="N352" s="2174"/>
      <c r="O352" s="2174"/>
      <c r="P352" s="2215"/>
      <c r="Q352" s="2174"/>
      <c r="R352" s="2174"/>
      <c r="S352" s="2174"/>
      <c r="T352" s="2174"/>
      <c r="U352" s="2174"/>
      <c r="V352" s="2174"/>
      <c r="W352" s="2174"/>
      <c r="X352" s="2174"/>
      <c r="Y352" s="2174"/>
      <c r="Z352" s="2174"/>
      <c r="AA352" s="2174"/>
      <c r="AB352" s="2174"/>
      <c r="AC352" s="2174"/>
    </row>
    <row r="353" spans="1:29">
      <c r="A353" s="2174"/>
      <c r="B353" s="2174"/>
      <c r="C353" s="2174"/>
      <c r="D353" s="2174"/>
      <c r="E353" s="2174"/>
      <c r="F353" s="2174"/>
      <c r="G353" s="2174"/>
      <c r="H353" s="2174"/>
      <c r="I353" s="2174"/>
      <c r="J353" s="2174"/>
      <c r="K353" s="2175"/>
      <c r="L353" s="2176"/>
      <c r="M353" s="2174"/>
      <c r="N353" s="2174"/>
      <c r="O353" s="2174"/>
      <c r="P353" s="2215"/>
      <c r="Q353" s="2174"/>
      <c r="R353" s="2174"/>
      <c r="S353" s="2174"/>
      <c r="T353" s="2174"/>
      <c r="U353" s="2174"/>
      <c r="V353" s="2174"/>
      <c r="W353" s="2174"/>
      <c r="X353" s="2174"/>
      <c r="Y353" s="2174"/>
      <c r="Z353" s="2174"/>
      <c r="AA353" s="2174"/>
      <c r="AB353" s="2174"/>
      <c r="AC353" s="2174"/>
    </row>
    <row r="354" spans="1:29">
      <c r="A354" s="2174"/>
      <c r="B354" s="2174"/>
      <c r="C354" s="2174"/>
      <c r="D354" s="2174"/>
      <c r="E354" s="2174"/>
      <c r="F354" s="2174"/>
      <c r="G354" s="2174"/>
      <c r="H354" s="2174"/>
      <c r="I354" s="2174"/>
      <c r="J354" s="2174"/>
      <c r="K354" s="2175"/>
      <c r="L354" s="2176"/>
      <c r="M354" s="2174"/>
      <c r="N354" s="2174"/>
      <c r="O354" s="2174"/>
      <c r="P354" s="2215"/>
      <c r="Q354" s="2174"/>
      <c r="R354" s="2174"/>
      <c r="S354" s="2174"/>
      <c r="T354" s="2174"/>
      <c r="U354" s="2174"/>
      <c r="V354" s="2174"/>
      <c r="W354" s="2174"/>
      <c r="X354" s="2174"/>
      <c r="Y354" s="2174"/>
      <c r="Z354" s="2174"/>
      <c r="AA354" s="2174"/>
      <c r="AB354" s="2174"/>
      <c r="AC354" s="2174"/>
    </row>
    <row r="355" spans="1:29">
      <c r="A355" s="2174"/>
      <c r="B355" s="2174"/>
      <c r="C355" s="2174"/>
      <c r="D355" s="2174"/>
      <c r="E355" s="2174"/>
      <c r="F355" s="2174"/>
      <c r="G355" s="2174"/>
      <c r="H355" s="2174"/>
      <c r="I355" s="2174"/>
      <c r="J355" s="2174"/>
      <c r="K355" s="2175"/>
      <c r="L355" s="2176"/>
      <c r="M355" s="2174"/>
      <c r="N355" s="2174"/>
      <c r="O355" s="2174"/>
      <c r="P355" s="2215"/>
      <c r="Q355" s="2174"/>
      <c r="R355" s="2174"/>
      <c r="S355" s="2174"/>
      <c r="T355" s="2174"/>
      <c r="U355" s="2174"/>
      <c r="V355" s="2174"/>
      <c r="W355" s="2174"/>
      <c r="X355" s="2174"/>
      <c r="Y355" s="2174"/>
      <c r="Z355" s="2174"/>
      <c r="AA355" s="2174"/>
      <c r="AB355" s="2174"/>
      <c r="AC355" s="2174"/>
    </row>
    <row r="356" spans="1:29">
      <c r="A356" s="2174"/>
      <c r="B356" s="2174"/>
      <c r="C356" s="2174"/>
      <c r="D356" s="2174"/>
      <c r="E356" s="2174"/>
      <c r="F356" s="2174"/>
      <c r="G356" s="2174"/>
      <c r="H356" s="2174"/>
      <c r="I356" s="2174"/>
      <c r="J356" s="2174"/>
      <c r="K356" s="2175"/>
      <c r="L356" s="2176"/>
      <c r="M356" s="2174"/>
      <c r="N356" s="2174"/>
      <c r="O356" s="2174"/>
      <c r="P356" s="2215"/>
      <c r="Q356" s="2174"/>
      <c r="R356" s="2174"/>
      <c r="S356" s="2174"/>
      <c r="T356" s="2174"/>
      <c r="U356" s="2174"/>
      <c r="V356" s="2174"/>
      <c r="W356" s="2174"/>
      <c r="X356" s="2174"/>
      <c r="Y356" s="2174"/>
      <c r="Z356" s="2174"/>
      <c r="AA356" s="2174"/>
      <c r="AB356" s="2174"/>
      <c r="AC356" s="2174"/>
    </row>
    <row r="357" spans="1:29">
      <c r="A357" s="2174"/>
      <c r="B357" s="2174"/>
      <c r="C357" s="2174"/>
      <c r="D357" s="2174"/>
      <c r="E357" s="2174"/>
      <c r="F357" s="2174"/>
      <c r="G357" s="2174"/>
      <c r="H357" s="2174"/>
      <c r="I357" s="2174"/>
      <c r="J357" s="2174"/>
      <c r="K357" s="2175"/>
      <c r="L357" s="2176"/>
      <c r="M357" s="2174"/>
      <c r="N357" s="2174"/>
      <c r="O357" s="2174"/>
      <c r="P357" s="2215"/>
      <c r="Q357" s="2174"/>
      <c r="R357" s="2174"/>
      <c r="S357" s="2174"/>
      <c r="T357" s="2174"/>
      <c r="U357" s="2174"/>
      <c r="V357" s="2174"/>
      <c r="W357" s="2174"/>
      <c r="X357" s="2174"/>
      <c r="Y357" s="2174"/>
      <c r="Z357" s="2174"/>
      <c r="AA357" s="2174"/>
      <c r="AB357" s="2174"/>
      <c r="AC357" s="2174"/>
    </row>
    <row r="358" spans="1:29">
      <c r="A358" s="2174"/>
      <c r="B358" s="2174"/>
      <c r="C358" s="2174"/>
      <c r="D358" s="2174"/>
      <c r="E358" s="2174"/>
      <c r="F358" s="2174"/>
      <c r="G358" s="2174"/>
      <c r="H358" s="2174"/>
      <c r="I358" s="2174"/>
      <c r="J358" s="2174"/>
      <c r="K358" s="2175"/>
      <c r="L358" s="2176"/>
      <c r="M358" s="2174"/>
      <c r="N358" s="2174"/>
      <c r="O358" s="2174"/>
      <c r="P358" s="2215"/>
      <c r="Q358" s="2174"/>
      <c r="R358" s="2174"/>
      <c r="S358" s="2174"/>
      <c r="T358" s="2174"/>
      <c r="U358" s="2174"/>
      <c r="V358" s="2174"/>
      <c r="W358" s="2174"/>
      <c r="X358" s="2174"/>
      <c r="Y358" s="2174"/>
      <c r="Z358" s="2174"/>
      <c r="AA358" s="2174"/>
      <c r="AB358" s="2174"/>
      <c r="AC358" s="2174"/>
    </row>
    <row r="359" spans="1:29">
      <c r="A359" s="2174"/>
      <c r="B359" s="2174"/>
      <c r="C359" s="2174"/>
      <c r="D359" s="2174"/>
      <c r="E359" s="2174"/>
      <c r="F359" s="2174"/>
      <c r="G359" s="2174"/>
      <c r="H359" s="2174"/>
      <c r="I359" s="2174"/>
      <c r="J359" s="2174"/>
      <c r="K359" s="2175"/>
      <c r="L359" s="2176"/>
      <c r="M359" s="2174"/>
      <c r="N359" s="2174"/>
      <c r="O359" s="2174"/>
      <c r="P359" s="2215"/>
      <c r="Q359" s="2174"/>
      <c r="R359" s="2174"/>
      <c r="S359" s="2174"/>
      <c r="T359" s="2174"/>
      <c r="U359" s="2174"/>
      <c r="V359" s="2174"/>
      <c r="W359" s="2174"/>
      <c r="X359" s="2174"/>
      <c r="Y359" s="2174"/>
      <c r="Z359" s="2174"/>
      <c r="AA359" s="2174"/>
      <c r="AB359" s="2174"/>
      <c r="AC359" s="2174"/>
    </row>
    <row r="360" spans="1:29">
      <c r="A360" s="2174"/>
      <c r="B360" s="2174"/>
      <c r="C360" s="2174"/>
      <c r="D360" s="2174"/>
      <c r="E360" s="2174"/>
      <c r="F360" s="2174"/>
      <c r="G360" s="2174"/>
      <c r="H360" s="2174"/>
      <c r="I360" s="2174"/>
      <c r="J360" s="2174"/>
      <c r="K360" s="2175"/>
      <c r="L360" s="2176"/>
      <c r="M360" s="2174"/>
      <c r="N360" s="2174"/>
      <c r="O360" s="2174"/>
      <c r="P360" s="2215"/>
      <c r="Q360" s="2174"/>
      <c r="R360" s="2174"/>
      <c r="S360" s="2174"/>
      <c r="T360" s="2174"/>
      <c r="U360" s="2174"/>
      <c r="V360" s="2174"/>
      <c r="W360" s="2174"/>
      <c r="X360" s="2174"/>
      <c r="Y360" s="2174"/>
      <c r="Z360" s="2174"/>
      <c r="AA360" s="2174"/>
      <c r="AB360" s="2174"/>
      <c r="AC360" s="2174"/>
    </row>
    <row r="361" spans="1:29">
      <c r="A361" s="2174"/>
      <c r="B361" s="2174"/>
      <c r="C361" s="2174"/>
      <c r="D361" s="2174"/>
      <c r="E361" s="2174"/>
      <c r="F361" s="2174"/>
      <c r="G361" s="2174"/>
      <c r="H361" s="2174"/>
      <c r="I361" s="2174"/>
      <c r="J361" s="2174"/>
      <c r="K361" s="2175"/>
      <c r="L361" s="2176"/>
      <c r="M361" s="2174"/>
      <c r="N361" s="2174"/>
      <c r="O361" s="2174"/>
      <c r="P361" s="2215"/>
      <c r="Q361" s="2174"/>
      <c r="R361" s="2174"/>
      <c r="S361" s="2174"/>
      <c r="T361" s="2174"/>
      <c r="U361" s="2174"/>
      <c r="V361" s="2174"/>
      <c r="W361" s="2174"/>
      <c r="X361" s="2174"/>
      <c r="Y361" s="2174"/>
      <c r="Z361" s="2174"/>
      <c r="AA361" s="2174"/>
      <c r="AB361" s="2174"/>
      <c r="AC361" s="2174"/>
    </row>
    <row r="362" spans="1:29">
      <c r="A362" s="2174"/>
      <c r="B362" s="2174"/>
      <c r="C362" s="2174"/>
      <c r="D362" s="2174"/>
      <c r="E362" s="2174"/>
      <c r="F362" s="2174"/>
      <c r="G362" s="2174"/>
      <c r="H362" s="2174"/>
      <c r="I362" s="2174"/>
      <c r="J362" s="2174"/>
      <c r="K362" s="2175"/>
      <c r="L362" s="2176"/>
      <c r="M362" s="2174"/>
      <c r="N362" s="2174"/>
      <c r="O362" s="2174"/>
      <c r="P362" s="2215"/>
      <c r="Q362" s="2174"/>
      <c r="R362" s="2174"/>
      <c r="S362" s="2174"/>
      <c r="T362" s="2174"/>
      <c r="U362" s="2174"/>
      <c r="V362" s="2174"/>
      <c r="W362" s="2174"/>
      <c r="X362" s="2174"/>
      <c r="Y362" s="2174"/>
      <c r="Z362" s="2174"/>
      <c r="AA362" s="2174"/>
      <c r="AB362" s="2174"/>
      <c r="AC362" s="2174"/>
    </row>
    <row r="363" spans="1:29">
      <c r="A363" s="2174"/>
      <c r="B363" s="2174"/>
      <c r="C363" s="2174"/>
      <c r="D363" s="2174"/>
      <c r="E363" s="2174"/>
      <c r="F363" s="2174"/>
      <c r="G363" s="2174"/>
      <c r="H363" s="2174"/>
      <c r="I363" s="2174"/>
      <c r="J363" s="2174"/>
      <c r="K363" s="2175"/>
      <c r="L363" s="2176"/>
      <c r="M363" s="2174"/>
      <c r="N363" s="2174"/>
      <c r="O363" s="2174"/>
      <c r="P363" s="2215"/>
      <c r="Q363" s="2174"/>
      <c r="R363" s="2174"/>
      <c r="S363" s="2174"/>
      <c r="T363" s="2174"/>
      <c r="U363" s="2174"/>
      <c r="V363" s="2174"/>
      <c r="W363" s="2174"/>
      <c r="X363" s="2174"/>
      <c r="Y363" s="2174"/>
      <c r="Z363" s="2174"/>
      <c r="AA363" s="2174"/>
      <c r="AB363" s="2174"/>
      <c r="AC363" s="2174"/>
    </row>
    <row r="364" spans="1:29">
      <c r="A364" s="2174"/>
      <c r="B364" s="2174"/>
      <c r="C364" s="2174"/>
      <c r="D364" s="2174"/>
      <c r="E364" s="2174"/>
      <c r="F364" s="2174"/>
      <c r="G364" s="2174"/>
      <c r="H364" s="2174"/>
      <c r="I364" s="2174"/>
      <c r="J364" s="2174"/>
      <c r="K364" s="2175"/>
      <c r="L364" s="2176"/>
      <c r="M364" s="2174"/>
      <c r="N364" s="2174"/>
      <c r="O364" s="2174"/>
      <c r="P364" s="2215"/>
      <c r="Q364" s="2174"/>
      <c r="R364" s="2174"/>
      <c r="S364" s="2174"/>
      <c r="T364" s="2174"/>
      <c r="U364" s="2174"/>
      <c r="V364" s="2174"/>
      <c r="W364" s="2174"/>
      <c r="X364" s="2174"/>
      <c r="Y364" s="2174"/>
      <c r="Z364" s="2174"/>
      <c r="AA364" s="2174"/>
      <c r="AB364" s="2174"/>
      <c r="AC364" s="2174"/>
    </row>
    <row r="365" spans="1:29">
      <c r="A365" s="2174"/>
      <c r="B365" s="2174"/>
      <c r="C365" s="2174"/>
      <c r="D365" s="2174"/>
      <c r="E365" s="2174"/>
      <c r="F365" s="2174"/>
      <c r="G365" s="2174"/>
      <c r="H365" s="2174"/>
      <c r="I365" s="2174"/>
      <c r="J365" s="2174"/>
      <c r="K365" s="2175"/>
      <c r="L365" s="2176"/>
      <c r="M365" s="2174"/>
      <c r="N365" s="2174"/>
      <c r="O365" s="2174"/>
      <c r="P365" s="2215"/>
      <c r="Q365" s="2174"/>
      <c r="R365" s="2174"/>
      <c r="S365" s="2174"/>
      <c r="T365" s="2174"/>
      <c r="U365" s="2174"/>
      <c r="V365" s="2174"/>
      <c r="W365" s="2174"/>
      <c r="X365" s="2174"/>
      <c r="Y365" s="2174"/>
      <c r="Z365" s="2174"/>
      <c r="AA365" s="2174"/>
      <c r="AB365" s="2174"/>
      <c r="AC365" s="2174"/>
    </row>
    <row r="366" spans="1:29">
      <c r="A366" s="2174"/>
      <c r="B366" s="2174"/>
      <c r="C366" s="2174"/>
      <c r="D366" s="2174"/>
      <c r="E366" s="2174"/>
      <c r="F366" s="2174"/>
      <c r="G366" s="2174"/>
      <c r="H366" s="2174"/>
      <c r="I366" s="2174"/>
      <c r="J366" s="2174"/>
      <c r="K366" s="2175"/>
      <c r="L366" s="2176"/>
      <c r="M366" s="2174"/>
      <c r="N366" s="2174"/>
      <c r="O366" s="2174"/>
      <c r="P366" s="2215"/>
      <c r="Q366" s="2174"/>
      <c r="R366" s="2174"/>
      <c r="S366" s="2174"/>
      <c r="T366" s="2174"/>
      <c r="U366" s="2174"/>
      <c r="V366" s="2174"/>
      <c r="W366" s="2174"/>
      <c r="X366" s="2174"/>
      <c r="Y366" s="2174"/>
      <c r="Z366" s="2174"/>
      <c r="AA366" s="2174"/>
      <c r="AB366" s="2174"/>
      <c r="AC366" s="2174"/>
    </row>
    <row r="367" spans="1:29">
      <c r="A367" s="2174"/>
      <c r="B367" s="2174"/>
      <c r="C367" s="2174"/>
      <c r="D367" s="2174"/>
      <c r="E367" s="2174"/>
      <c r="F367" s="2174"/>
      <c r="G367" s="2174"/>
      <c r="H367" s="2174"/>
      <c r="I367" s="2174"/>
      <c r="J367" s="2174"/>
      <c r="K367" s="2175"/>
      <c r="L367" s="2176"/>
      <c r="M367" s="2174"/>
      <c r="N367" s="2174"/>
      <c r="O367" s="2174"/>
      <c r="P367" s="2215"/>
      <c r="Q367" s="2174"/>
      <c r="R367" s="2174"/>
      <c r="S367" s="2174"/>
      <c r="T367" s="2174"/>
      <c r="U367" s="2174"/>
      <c r="V367" s="2174"/>
      <c r="W367" s="2174"/>
      <c r="X367" s="2174"/>
      <c r="Y367" s="2174"/>
      <c r="Z367" s="2174"/>
      <c r="AA367" s="2174"/>
      <c r="AB367" s="2174"/>
      <c r="AC367" s="2174"/>
    </row>
    <row r="368" spans="1:29">
      <c r="A368" s="2174"/>
      <c r="B368" s="2174"/>
      <c r="C368" s="2174"/>
      <c r="D368" s="2174"/>
      <c r="E368" s="2174"/>
      <c r="F368" s="2174"/>
      <c r="G368" s="2174"/>
      <c r="H368" s="2174"/>
      <c r="I368" s="2174"/>
      <c r="J368" s="2174"/>
      <c r="K368" s="2175"/>
      <c r="L368" s="2176"/>
      <c r="M368" s="2174"/>
      <c r="N368" s="2174"/>
      <c r="O368" s="2174"/>
      <c r="P368" s="2215"/>
      <c r="Q368" s="2174"/>
      <c r="R368" s="2174"/>
      <c r="S368" s="2174"/>
      <c r="T368" s="2174"/>
      <c r="U368" s="2174"/>
      <c r="V368" s="2174"/>
      <c r="W368" s="2174"/>
      <c r="X368" s="2174"/>
      <c r="Y368" s="2174"/>
      <c r="Z368" s="2174"/>
      <c r="AA368" s="2174"/>
      <c r="AB368" s="2174"/>
      <c r="AC368" s="2174"/>
    </row>
    <row r="369" spans="1:29">
      <c r="A369" s="2174"/>
      <c r="B369" s="2174"/>
      <c r="C369" s="2174"/>
      <c r="D369" s="2174"/>
      <c r="E369" s="2174"/>
      <c r="F369" s="2174"/>
      <c r="G369" s="2174"/>
      <c r="H369" s="2174"/>
      <c r="I369" s="2174"/>
      <c r="J369" s="2174"/>
      <c r="K369" s="2175"/>
      <c r="L369" s="2176"/>
      <c r="M369" s="2174"/>
      <c r="N369" s="2174"/>
      <c r="O369" s="2174"/>
      <c r="P369" s="2215"/>
      <c r="Q369" s="2174"/>
      <c r="R369" s="2174"/>
      <c r="S369" s="2174"/>
      <c r="T369" s="2174"/>
      <c r="U369" s="2174"/>
      <c r="V369" s="2174"/>
      <c r="W369" s="2174"/>
      <c r="X369" s="2174"/>
      <c r="Y369" s="2174"/>
      <c r="Z369" s="2174"/>
      <c r="AA369" s="2174"/>
      <c r="AB369" s="2174"/>
      <c r="AC369" s="2174"/>
    </row>
    <row r="370" spans="1:29">
      <c r="A370" s="2174"/>
      <c r="B370" s="2174"/>
      <c r="C370" s="2174"/>
      <c r="D370" s="2174"/>
      <c r="E370" s="2174"/>
      <c r="F370" s="2174"/>
      <c r="G370" s="2174"/>
      <c r="H370" s="2174"/>
      <c r="I370" s="2174"/>
      <c r="J370" s="2174"/>
      <c r="K370" s="2175"/>
      <c r="L370" s="2176"/>
      <c r="M370" s="2174"/>
      <c r="N370" s="2174"/>
      <c r="O370" s="2174"/>
      <c r="P370" s="2215"/>
      <c r="Q370" s="2174"/>
      <c r="R370" s="2174"/>
      <c r="S370" s="2174"/>
      <c r="T370" s="2174"/>
      <c r="U370" s="2174"/>
      <c r="V370" s="2174"/>
      <c r="W370" s="2174"/>
      <c r="X370" s="2174"/>
      <c r="Y370" s="2174"/>
      <c r="Z370" s="2174"/>
      <c r="AA370" s="2174"/>
      <c r="AB370" s="2174"/>
      <c r="AC370" s="2174"/>
    </row>
    <row r="371" spans="1:29">
      <c r="A371" s="2174"/>
      <c r="B371" s="2174"/>
      <c r="C371" s="2174"/>
      <c r="D371" s="2174"/>
      <c r="E371" s="2174"/>
      <c r="F371" s="2174"/>
      <c r="G371" s="2174"/>
      <c r="H371" s="2174"/>
      <c r="I371" s="2174"/>
      <c r="J371" s="2174"/>
      <c r="K371" s="2175"/>
      <c r="L371" s="2176"/>
      <c r="M371" s="2174"/>
      <c r="N371" s="2174"/>
      <c r="O371" s="2174"/>
      <c r="P371" s="2215"/>
      <c r="Q371" s="2174"/>
      <c r="R371" s="2174"/>
      <c r="S371" s="2174"/>
      <c r="T371" s="2174"/>
      <c r="U371" s="2174"/>
      <c r="V371" s="2174"/>
      <c r="W371" s="2174"/>
      <c r="X371" s="2174"/>
      <c r="Y371" s="2174"/>
      <c r="Z371" s="2174"/>
      <c r="AA371" s="2174"/>
      <c r="AB371" s="2174"/>
      <c r="AC371" s="2174"/>
    </row>
    <row r="372" spans="1:29">
      <c r="A372" s="2174"/>
      <c r="B372" s="2174"/>
      <c r="C372" s="2174"/>
      <c r="D372" s="2174"/>
      <c r="E372" s="2174"/>
      <c r="F372" s="2174"/>
      <c r="G372" s="2174"/>
      <c r="H372" s="2174"/>
      <c r="I372" s="2174"/>
      <c r="J372" s="2174"/>
      <c r="K372" s="2175"/>
      <c r="L372" s="2176"/>
      <c r="M372" s="2174"/>
      <c r="N372" s="2174"/>
      <c r="O372" s="2174"/>
      <c r="P372" s="2215"/>
      <c r="Q372" s="2174"/>
      <c r="R372" s="2174"/>
      <c r="S372" s="2174"/>
      <c r="T372" s="2174"/>
      <c r="U372" s="2174"/>
      <c r="V372" s="2174"/>
      <c r="W372" s="2174"/>
      <c r="X372" s="2174"/>
      <c r="Y372" s="2174"/>
      <c r="Z372" s="2174"/>
      <c r="AA372" s="2174"/>
      <c r="AB372" s="2174"/>
      <c r="AC372" s="2174"/>
    </row>
    <row r="373" spans="1:29">
      <c r="A373" s="2174"/>
      <c r="B373" s="2174"/>
      <c r="C373" s="2174"/>
      <c r="D373" s="2174"/>
      <c r="E373" s="2174"/>
      <c r="F373" s="2174"/>
      <c r="G373" s="2174"/>
      <c r="H373" s="2174"/>
      <c r="I373" s="2174"/>
      <c r="J373" s="2174"/>
      <c r="K373" s="2175"/>
      <c r="L373" s="2176"/>
      <c r="M373" s="2174"/>
      <c r="N373" s="2174"/>
      <c r="O373" s="2174"/>
      <c r="P373" s="2215"/>
      <c r="Q373" s="2174"/>
      <c r="R373" s="2174"/>
      <c r="S373" s="2174"/>
      <c r="T373" s="2174"/>
      <c r="U373" s="2174"/>
      <c r="V373" s="2174"/>
      <c r="W373" s="2174"/>
      <c r="X373" s="2174"/>
      <c r="Y373" s="2174"/>
      <c r="Z373" s="2174"/>
      <c r="AA373" s="2174"/>
      <c r="AB373" s="2174"/>
      <c r="AC373" s="2174"/>
    </row>
    <row r="374" spans="1:29">
      <c r="A374" s="2174"/>
      <c r="B374" s="2174"/>
      <c r="C374" s="2174"/>
      <c r="D374" s="2174"/>
      <c r="E374" s="2174"/>
      <c r="F374" s="2174"/>
      <c r="G374" s="2174"/>
      <c r="H374" s="2174"/>
      <c r="I374" s="2174"/>
      <c r="J374" s="2174"/>
      <c r="K374" s="2175"/>
      <c r="L374" s="2176"/>
      <c r="M374" s="2174"/>
      <c r="N374" s="2174"/>
      <c r="O374" s="2174"/>
      <c r="P374" s="2215"/>
      <c r="Q374" s="2174"/>
      <c r="R374" s="2174"/>
      <c r="S374" s="2174"/>
      <c r="T374" s="2174"/>
      <c r="U374" s="2174"/>
      <c r="V374" s="2174"/>
      <c r="W374" s="2174"/>
      <c r="X374" s="2174"/>
      <c r="Y374" s="2174"/>
      <c r="Z374" s="2174"/>
      <c r="AA374" s="2174"/>
      <c r="AB374" s="2174"/>
      <c r="AC374" s="2174"/>
    </row>
    <row r="375" spans="1:29">
      <c r="A375" s="2174"/>
      <c r="B375" s="2174"/>
      <c r="C375" s="2174"/>
      <c r="D375" s="2174"/>
      <c r="E375" s="2174"/>
      <c r="F375" s="2174"/>
      <c r="G375" s="2174"/>
      <c r="H375" s="2174"/>
      <c r="I375" s="2174"/>
      <c r="J375" s="2174"/>
      <c r="K375" s="2175"/>
      <c r="L375" s="2176"/>
      <c r="M375" s="2174"/>
      <c r="N375" s="2174"/>
      <c r="O375" s="2174"/>
      <c r="P375" s="2215"/>
      <c r="Q375" s="2174"/>
      <c r="R375" s="2174"/>
      <c r="S375" s="2174"/>
      <c r="T375" s="2174"/>
      <c r="U375" s="2174"/>
      <c r="V375" s="2174"/>
      <c r="W375" s="2174"/>
      <c r="X375" s="2174"/>
      <c r="Y375" s="2174"/>
      <c r="Z375" s="2174"/>
      <c r="AA375" s="2174"/>
      <c r="AB375" s="2174"/>
      <c r="AC375" s="2174"/>
    </row>
    <row r="376" spans="1:29">
      <c r="A376" s="2174"/>
      <c r="B376" s="2174"/>
      <c r="C376" s="2174"/>
      <c r="D376" s="2174"/>
      <c r="E376" s="2174"/>
      <c r="F376" s="2174"/>
      <c r="G376" s="2174"/>
      <c r="H376" s="2174"/>
      <c r="I376" s="2174"/>
      <c r="J376" s="2174"/>
      <c r="K376" s="2175"/>
      <c r="L376" s="2176"/>
      <c r="M376" s="2174"/>
      <c r="N376" s="2174"/>
      <c r="O376" s="2174"/>
      <c r="P376" s="2215"/>
      <c r="Q376" s="2174"/>
      <c r="R376" s="2174"/>
      <c r="S376" s="2174"/>
      <c r="T376" s="2174"/>
      <c r="U376" s="2174"/>
      <c r="V376" s="2174"/>
      <c r="W376" s="2174"/>
      <c r="X376" s="2174"/>
      <c r="Y376" s="2174"/>
      <c r="Z376" s="2174"/>
      <c r="AA376" s="2174"/>
      <c r="AB376" s="2174"/>
      <c r="AC376" s="2174"/>
    </row>
    <row r="377" spans="1:29">
      <c r="A377" s="2174"/>
      <c r="B377" s="2174"/>
      <c r="C377" s="2174"/>
      <c r="D377" s="2174"/>
      <c r="E377" s="2174"/>
      <c r="F377" s="2174"/>
      <c r="G377" s="2174"/>
      <c r="H377" s="2174"/>
      <c r="I377" s="2174"/>
      <c r="J377" s="2174"/>
      <c r="K377" s="2175"/>
      <c r="L377" s="2176"/>
      <c r="M377" s="2174"/>
      <c r="N377" s="2174"/>
      <c r="O377" s="2174"/>
      <c r="P377" s="2215"/>
      <c r="Q377" s="2174"/>
      <c r="R377" s="2174"/>
      <c r="S377" s="2174"/>
      <c r="T377" s="2174"/>
      <c r="U377" s="2174"/>
      <c r="V377" s="2174"/>
      <c r="W377" s="2174"/>
      <c r="X377" s="2174"/>
      <c r="Y377" s="2174"/>
      <c r="Z377" s="2174"/>
      <c r="AA377" s="2174"/>
      <c r="AB377" s="2174"/>
      <c r="AC377" s="2174"/>
    </row>
    <row r="378" spans="1:29">
      <c r="A378" s="2174"/>
      <c r="B378" s="2174"/>
      <c r="C378" s="2174"/>
      <c r="D378" s="2174"/>
      <c r="E378" s="2174"/>
      <c r="F378" s="2174"/>
      <c r="G378" s="2174"/>
      <c r="H378" s="2174"/>
      <c r="I378" s="2174"/>
      <c r="J378" s="2174"/>
      <c r="K378" s="2175"/>
      <c r="L378" s="2176"/>
      <c r="M378" s="2174"/>
      <c r="N378" s="2174"/>
      <c r="O378" s="2174"/>
      <c r="P378" s="2215"/>
      <c r="Q378" s="2174"/>
      <c r="R378" s="2174"/>
      <c r="S378" s="2174"/>
      <c r="T378" s="2174"/>
      <c r="U378" s="2174"/>
      <c r="V378" s="2174"/>
      <c r="W378" s="2174"/>
      <c r="X378" s="2174"/>
      <c r="Y378" s="2174"/>
      <c r="Z378" s="2174"/>
      <c r="AA378" s="2174"/>
      <c r="AB378" s="2174"/>
      <c r="AC378" s="2174"/>
    </row>
    <row r="379" spans="1:29">
      <c r="A379" s="2174"/>
      <c r="B379" s="2174"/>
      <c r="C379" s="2174"/>
      <c r="D379" s="2174"/>
      <c r="E379" s="2174"/>
      <c r="F379" s="2174"/>
      <c r="G379" s="2174"/>
      <c r="H379" s="2174"/>
      <c r="I379" s="2174"/>
      <c r="J379" s="2174"/>
      <c r="K379" s="2175"/>
      <c r="L379" s="2176"/>
      <c r="M379" s="2174"/>
      <c r="N379" s="2174"/>
      <c r="O379" s="2174"/>
      <c r="P379" s="2215"/>
      <c r="Q379" s="2174"/>
      <c r="R379" s="2174"/>
      <c r="S379" s="2174"/>
      <c r="T379" s="2174"/>
      <c r="U379" s="2174"/>
      <c r="V379" s="2174"/>
      <c r="W379" s="2174"/>
      <c r="X379" s="2174"/>
      <c r="Y379" s="2174"/>
      <c r="Z379" s="2174"/>
      <c r="AA379" s="2174"/>
      <c r="AB379" s="2174"/>
      <c r="AC379" s="2174"/>
    </row>
    <row r="380" spans="1:29">
      <c r="A380" s="2174"/>
      <c r="B380" s="2174"/>
      <c r="C380" s="2174"/>
      <c r="D380" s="2174"/>
      <c r="E380" s="2174"/>
      <c r="F380" s="2174"/>
      <c r="G380" s="2174"/>
      <c r="H380" s="2174"/>
      <c r="I380" s="2174"/>
      <c r="J380" s="2174"/>
      <c r="K380" s="2175"/>
      <c r="L380" s="2176"/>
      <c r="M380" s="2174"/>
      <c r="N380" s="2174"/>
      <c r="O380" s="2174"/>
      <c r="P380" s="2215"/>
      <c r="Q380" s="2174"/>
      <c r="R380" s="2174"/>
      <c r="S380" s="2174"/>
      <c r="T380" s="2174"/>
      <c r="U380" s="2174"/>
      <c r="V380" s="2174"/>
      <c r="W380" s="2174"/>
      <c r="X380" s="2174"/>
      <c r="Y380" s="2174"/>
      <c r="Z380" s="2174"/>
      <c r="AA380" s="2174"/>
      <c r="AB380" s="2174"/>
      <c r="AC380" s="2174"/>
    </row>
    <row r="381" spans="1:29">
      <c r="A381" s="2174"/>
      <c r="B381" s="2174"/>
      <c r="C381" s="2174"/>
      <c r="D381" s="2174"/>
      <c r="E381" s="2174"/>
      <c r="F381" s="2174"/>
      <c r="G381" s="2174"/>
      <c r="H381" s="2174"/>
      <c r="I381" s="2174"/>
      <c r="J381" s="2174"/>
      <c r="K381" s="2175"/>
      <c r="L381" s="2176"/>
      <c r="M381" s="2174"/>
      <c r="N381" s="2174"/>
      <c r="O381" s="2174"/>
      <c r="P381" s="2215"/>
      <c r="Q381" s="2174"/>
      <c r="R381" s="2174"/>
      <c r="S381" s="2174"/>
      <c r="T381" s="2174"/>
      <c r="U381" s="2174"/>
      <c r="V381" s="2174"/>
      <c r="W381" s="2174"/>
      <c r="X381" s="2174"/>
      <c r="Y381" s="2174"/>
      <c r="Z381" s="2174"/>
      <c r="AA381" s="2174"/>
      <c r="AB381" s="2174"/>
      <c r="AC381" s="2174"/>
    </row>
    <row r="382" spans="1:29">
      <c r="A382" s="2174"/>
      <c r="B382" s="2174"/>
      <c r="C382" s="2174"/>
      <c r="D382" s="2174"/>
      <c r="E382" s="2174"/>
      <c r="F382" s="2174"/>
      <c r="G382" s="2174"/>
      <c r="H382" s="2174"/>
      <c r="I382" s="2174"/>
      <c r="J382" s="2174"/>
      <c r="K382" s="2175"/>
      <c r="L382" s="2176"/>
      <c r="M382" s="2174"/>
      <c r="N382" s="2174"/>
      <c r="O382" s="2174"/>
      <c r="P382" s="2215"/>
      <c r="Q382" s="2174"/>
      <c r="R382" s="2174"/>
      <c r="S382" s="2174"/>
      <c r="T382" s="2174"/>
      <c r="U382" s="2174"/>
      <c r="V382" s="2174"/>
      <c r="W382" s="2174"/>
      <c r="X382" s="2174"/>
      <c r="Y382" s="2174"/>
      <c r="Z382" s="2174"/>
      <c r="AA382" s="2174"/>
      <c r="AB382" s="2174"/>
      <c r="AC382" s="2174"/>
    </row>
    <row r="383" spans="1:29">
      <c r="A383" s="2174"/>
      <c r="B383" s="2174"/>
      <c r="C383" s="2174"/>
      <c r="D383" s="2174"/>
      <c r="E383" s="2174"/>
      <c r="F383" s="2174"/>
      <c r="G383" s="2174"/>
      <c r="H383" s="2174"/>
      <c r="I383" s="2174"/>
      <c r="J383" s="2174"/>
      <c r="K383" s="2175"/>
      <c r="L383" s="2176"/>
      <c r="M383" s="2174"/>
      <c r="N383" s="2174"/>
      <c r="O383" s="2174"/>
      <c r="P383" s="2215"/>
      <c r="Q383" s="2174"/>
      <c r="R383" s="2174"/>
      <c r="S383" s="2174"/>
      <c r="T383" s="2174"/>
      <c r="U383" s="2174"/>
      <c r="V383" s="2174"/>
      <c r="W383" s="2174"/>
      <c r="X383" s="2174"/>
      <c r="Y383" s="2174"/>
      <c r="Z383" s="2174"/>
      <c r="AA383" s="2174"/>
      <c r="AB383" s="2174"/>
      <c r="AC383" s="2174"/>
    </row>
    <row r="384" spans="1:29">
      <c r="A384" s="2174"/>
      <c r="B384" s="2174"/>
      <c r="C384" s="2174"/>
      <c r="D384" s="2174"/>
      <c r="E384" s="2174"/>
      <c r="F384" s="2174"/>
      <c r="G384" s="2174"/>
      <c r="H384" s="2174"/>
      <c r="I384" s="2174"/>
      <c r="J384" s="2174"/>
      <c r="K384" s="2175"/>
      <c r="L384" s="2176"/>
      <c r="M384" s="2174"/>
      <c r="N384" s="2174"/>
      <c r="O384" s="2174"/>
      <c r="P384" s="2215"/>
      <c r="Q384" s="2174"/>
      <c r="R384" s="2174"/>
      <c r="S384" s="2174"/>
      <c r="T384" s="2174"/>
      <c r="U384" s="2174"/>
      <c r="V384" s="2174"/>
      <c r="W384" s="2174"/>
      <c r="X384" s="2174"/>
      <c r="Y384" s="2174"/>
      <c r="Z384" s="2174"/>
      <c r="AA384" s="2174"/>
      <c r="AB384" s="2174"/>
      <c r="AC384" s="2174"/>
    </row>
    <row r="385" spans="1:29">
      <c r="A385" s="2174"/>
      <c r="B385" s="2174"/>
      <c r="C385" s="2174"/>
      <c r="D385" s="2174"/>
      <c r="E385" s="2174"/>
      <c r="F385" s="2174"/>
      <c r="G385" s="2174"/>
      <c r="H385" s="2174"/>
      <c r="I385" s="2174"/>
      <c r="J385" s="2174"/>
      <c r="K385" s="2175"/>
      <c r="L385" s="2176"/>
      <c r="M385" s="2174"/>
      <c r="N385" s="2174"/>
      <c r="O385" s="2174"/>
      <c r="P385" s="2215"/>
      <c r="Q385" s="2174"/>
      <c r="R385" s="2174"/>
      <c r="S385" s="2174"/>
      <c r="T385" s="2174"/>
      <c r="U385" s="2174"/>
      <c r="V385" s="2174"/>
      <c r="W385" s="2174"/>
      <c r="X385" s="2174"/>
      <c r="Y385" s="2174"/>
      <c r="Z385" s="2174"/>
      <c r="AA385" s="2174"/>
      <c r="AB385" s="2174"/>
      <c r="AC385" s="2174"/>
    </row>
    <row r="386" spans="1:29">
      <c r="A386" s="2174"/>
      <c r="B386" s="2174"/>
      <c r="C386" s="2174"/>
      <c r="D386" s="2174"/>
      <c r="E386" s="2174"/>
      <c r="F386" s="2174"/>
      <c r="G386" s="2174"/>
      <c r="H386" s="2174"/>
      <c r="I386" s="2174"/>
      <c r="J386" s="2174"/>
      <c r="K386" s="2175"/>
      <c r="L386" s="2176"/>
      <c r="M386" s="2174"/>
      <c r="N386" s="2174"/>
      <c r="O386" s="2174"/>
      <c r="P386" s="2215"/>
      <c r="Q386" s="2174"/>
      <c r="R386" s="2174"/>
      <c r="S386" s="2174"/>
      <c r="T386" s="2174"/>
      <c r="U386" s="2174"/>
      <c r="V386" s="2174"/>
      <c r="W386" s="2174"/>
      <c r="X386" s="2174"/>
      <c r="Y386" s="2174"/>
      <c r="Z386" s="2174"/>
      <c r="AA386" s="2174"/>
      <c r="AB386" s="2174"/>
      <c r="AC386" s="2174"/>
    </row>
    <row r="387" spans="1:29">
      <c r="A387" s="2174"/>
      <c r="B387" s="2174"/>
      <c r="C387" s="2174"/>
      <c r="D387" s="2174"/>
      <c r="E387" s="2174"/>
      <c r="F387" s="2174"/>
      <c r="G387" s="2174"/>
      <c r="H387" s="2174"/>
      <c r="I387" s="2174"/>
      <c r="J387" s="2174"/>
      <c r="K387" s="2175"/>
      <c r="L387" s="2176"/>
      <c r="M387" s="2174"/>
      <c r="N387" s="2174"/>
      <c r="O387" s="2174"/>
      <c r="P387" s="2215"/>
      <c r="Q387" s="2174"/>
      <c r="R387" s="2174"/>
      <c r="S387" s="2174"/>
      <c r="T387" s="2174"/>
      <c r="U387" s="2174"/>
      <c r="V387" s="2174"/>
      <c r="W387" s="2174"/>
      <c r="X387" s="2174"/>
      <c r="Y387" s="2174"/>
      <c r="Z387" s="2174"/>
      <c r="AA387" s="2174"/>
      <c r="AB387" s="2174"/>
      <c r="AC387" s="2174"/>
    </row>
    <row r="388" spans="1:29">
      <c r="A388" s="2174"/>
      <c r="B388" s="2174"/>
      <c r="C388" s="2174"/>
      <c r="D388" s="2174"/>
      <c r="E388" s="2174"/>
      <c r="F388" s="2174"/>
      <c r="G388" s="2174"/>
      <c r="H388" s="2174"/>
      <c r="I388" s="2174"/>
      <c r="J388" s="2174"/>
      <c r="K388" s="2175"/>
      <c r="L388" s="2176"/>
      <c r="M388" s="2174"/>
      <c r="N388" s="2174"/>
      <c r="O388" s="2174"/>
      <c r="P388" s="2215"/>
      <c r="Q388" s="2174"/>
      <c r="R388" s="2174"/>
      <c r="S388" s="2174"/>
      <c r="T388" s="2174"/>
      <c r="U388" s="2174"/>
      <c r="V388" s="2174"/>
      <c r="W388" s="2174"/>
      <c r="X388" s="2174"/>
      <c r="Y388" s="2174"/>
      <c r="Z388" s="2174"/>
      <c r="AA388" s="2174"/>
      <c r="AB388" s="2174"/>
      <c r="AC388" s="2174"/>
    </row>
    <row r="389" spans="1:29">
      <c r="A389" s="2174"/>
      <c r="B389" s="2174"/>
      <c r="C389" s="2174"/>
      <c r="D389" s="2174"/>
      <c r="E389" s="2174"/>
      <c r="F389" s="2174"/>
      <c r="G389" s="2174"/>
      <c r="H389" s="2174"/>
      <c r="I389" s="2174"/>
      <c r="J389" s="2174"/>
      <c r="K389" s="2175"/>
      <c r="L389" s="2176"/>
      <c r="M389" s="2174"/>
      <c r="N389" s="2174"/>
      <c r="O389" s="2174"/>
      <c r="P389" s="2215"/>
      <c r="Q389" s="2174"/>
      <c r="R389" s="2174"/>
      <c r="S389" s="2174"/>
      <c r="T389" s="2174"/>
      <c r="U389" s="2174"/>
      <c r="V389" s="2174"/>
      <c r="W389" s="2174"/>
      <c r="X389" s="2174"/>
      <c r="Y389" s="2174"/>
      <c r="Z389" s="2174"/>
      <c r="AA389" s="2174"/>
      <c r="AB389" s="2174"/>
      <c r="AC389" s="2174"/>
    </row>
    <row r="390" spans="1:29">
      <c r="A390" s="2174"/>
      <c r="B390" s="2174"/>
      <c r="C390" s="2174"/>
      <c r="D390" s="2174"/>
      <c r="E390" s="2174"/>
      <c r="F390" s="2174"/>
      <c r="G390" s="2174"/>
      <c r="H390" s="2174"/>
      <c r="I390" s="2174"/>
      <c r="J390" s="2174"/>
      <c r="K390" s="2175"/>
      <c r="L390" s="2176"/>
      <c r="M390" s="2174"/>
      <c r="N390" s="2174"/>
      <c r="O390" s="2174"/>
      <c r="P390" s="2215"/>
      <c r="Q390" s="2174"/>
      <c r="R390" s="2174"/>
      <c r="S390" s="2174"/>
      <c r="T390" s="2174"/>
      <c r="U390" s="2174"/>
      <c r="V390" s="2174"/>
      <c r="W390" s="2174"/>
      <c r="X390" s="2174"/>
      <c r="Y390" s="2174"/>
      <c r="Z390" s="2174"/>
      <c r="AA390" s="2174"/>
      <c r="AB390" s="2174"/>
      <c r="AC390" s="2174"/>
    </row>
    <row r="391" spans="1:29">
      <c r="A391" s="2174"/>
      <c r="B391" s="2174"/>
      <c r="C391" s="2174"/>
      <c r="D391" s="2174"/>
      <c r="E391" s="2174"/>
      <c r="F391" s="2174"/>
      <c r="G391" s="2174"/>
      <c r="H391" s="2174"/>
      <c r="I391" s="2174"/>
      <c r="J391" s="2174"/>
      <c r="K391" s="2175"/>
      <c r="L391" s="2176"/>
      <c r="M391" s="2174"/>
      <c r="N391" s="2174"/>
      <c r="O391" s="2174"/>
      <c r="P391" s="2215"/>
      <c r="Q391" s="2174"/>
      <c r="R391" s="2174"/>
      <c r="S391" s="2174"/>
      <c r="T391" s="2174"/>
      <c r="U391" s="2174"/>
      <c r="V391" s="2174"/>
      <c r="W391" s="2174"/>
      <c r="X391" s="2174"/>
      <c r="Y391" s="2174"/>
      <c r="Z391" s="2174"/>
      <c r="AA391" s="2174"/>
      <c r="AB391" s="2174"/>
      <c r="AC391" s="2174"/>
    </row>
    <row r="392" spans="1:29">
      <c r="A392" s="2174"/>
      <c r="B392" s="2174"/>
      <c r="C392" s="2174"/>
      <c r="D392" s="2174"/>
      <c r="E392" s="2174"/>
      <c r="F392" s="2174"/>
      <c r="G392" s="2174"/>
      <c r="H392" s="2174"/>
      <c r="I392" s="2174"/>
      <c r="J392" s="2174"/>
      <c r="K392" s="2175"/>
      <c r="L392" s="2176"/>
      <c r="M392" s="2174"/>
      <c r="N392" s="2174"/>
      <c r="O392" s="2174"/>
      <c r="P392" s="2215"/>
      <c r="Q392" s="2174"/>
      <c r="R392" s="2174"/>
      <c r="S392" s="2174"/>
      <c r="T392" s="2174"/>
      <c r="U392" s="2174"/>
      <c r="V392" s="2174"/>
      <c r="W392" s="2174"/>
      <c r="X392" s="2174"/>
      <c r="Y392" s="2174"/>
      <c r="Z392" s="2174"/>
      <c r="AA392" s="2174"/>
      <c r="AB392" s="2174"/>
      <c r="AC392" s="2174"/>
    </row>
    <row r="393" spans="1:29">
      <c r="A393" s="2174"/>
      <c r="B393" s="2174"/>
      <c r="C393" s="2174"/>
      <c r="D393" s="2174"/>
      <c r="E393" s="2174"/>
      <c r="F393" s="2174"/>
      <c r="G393" s="2174"/>
      <c r="H393" s="2174"/>
      <c r="I393" s="2174"/>
      <c r="J393" s="2174"/>
      <c r="K393" s="2175"/>
      <c r="L393" s="2176"/>
      <c r="M393" s="2174"/>
      <c r="N393" s="2174"/>
      <c r="O393" s="2174"/>
      <c r="P393" s="2215"/>
      <c r="Q393" s="2174"/>
      <c r="R393" s="2174"/>
      <c r="S393" s="2174"/>
      <c r="T393" s="2174"/>
      <c r="U393" s="2174"/>
      <c r="V393" s="2174"/>
      <c r="W393" s="2174"/>
      <c r="X393" s="2174"/>
      <c r="Y393" s="2174"/>
      <c r="Z393" s="2174"/>
      <c r="AA393" s="2174"/>
      <c r="AB393" s="2174"/>
      <c r="AC393" s="2174"/>
    </row>
    <row r="394" spans="1:29">
      <c r="A394" s="2174"/>
      <c r="B394" s="2174"/>
      <c r="C394" s="2174"/>
      <c r="D394" s="2174"/>
      <c r="E394" s="2174"/>
      <c r="F394" s="2174"/>
      <c r="G394" s="2174"/>
      <c r="H394" s="2174"/>
      <c r="I394" s="2174"/>
      <c r="J394" s="2174"/>
      <c r="K394" s="2175"/>
      <c r="L394" s="2176"/>
      <c r="M394" s="2174"/>
      <c r="N394" s="2174"/>
      <c r="O394" s="2174"/>
      <c r="P394" s="2215"/>
      <c r="Q394" s="2174"/>
      <c r="R394" s="2174"/>
      <c r="S394" s="2174"/>
      <c r="T394" s="2174"/>
      <c r="U394" s="2174"/>
      <c r="V394" s="2174"/>
      <c r="W394" s="2174"/>
      <c r="X394" s="2174"/>
      <c r="Y394" s="2174"/>
      <c r="Z394" s="2174"/>
      <c r="AA394" s="2174"/>
      <c r="AB394" s="2174"/>
      <c r="AC394" s="2174"/>
    </row>
    <row r="395" spans="1:29">
      <c r="A395" s="2174"/>
      <c r="B395" s="2174"/>
      <c r="C395" s="2174"/>
      <c r="D395" s="2174"/>
      <c r="E395" s="2174"/>
      <c r="F395" s="2174"/>
      <c r="G395" s="2174"/>
      <c r="H395" s="2174"/>
      <c r="I395" s="2174"/>
      <c r="J395" s="2174"/>
      <c r="K395" s="2175"/>
      <c r="L395" s="2176"/>
      <c r="M395" s="2174"/>
      <c r="N395" s="2174"/>
      <c r="O395" s="2174"/>
      <c r="P395" s="2215"/>
      <c r="Q395" s="2174"/>
      <c r="R395" s="2174"/>
      <c r="S395" s="2174"/>
      <c r="T395" s="2174"/>
      <c r="U395" s="2174"/>
      <c r="V395" s="2174"/>
      <c r="W395" s="2174"/>
      <c r="X395" s="2174"/>
      <c r="Y395" s="2174"/>
      <c r="Z395" s="2174"/>
      <c r="AA395" s="2174"/>
      <c r="AB395" s="2174"/>
      <c r="AC395" s="2174"/>
    </row>
    <row r="396" spans="1:29">
      <c r="A396" s="2174"/>
      <c r="B396" s="2174"/>
      <c r="C396" s="2174"/>
      <c r="D396" s="2174"/>
      <c r="E396" s="2174"/>
      <c r="F396" s="2174"/>
      <c r="G396" s="2174"/>
      <c r="H396" s="2174"/>
      <c r="I396" s="2174"/>
      <c r="J396" s="2174"/>
      <c r="K396" s="2175"/>
      <c r="L396" s="2176"/>
      <c r="M396" s="2174"/>
      <c r="N396" s="2174"/>
      <c r="O396" s="2174"/>
      <c r="P396" s="2215"/>
      <c r="Q396" s="2174"/>
      <c r="R396" s="2174"/>
      <c r="S396" s="2174"/>
      <c r="T396" s="2174"/>
      <c r="U396" s="2174"/>
      <c r="V396" s="2174"/>
      <c r="W396" s="2174"/>
      <c r="X396" s="2174"/>
      <c r="Y396" s="2174"/>
      <c r="Z396" s="2174"/>
      <c r="AA396" s="2174"/>
      <c r="AB396" s="2174"/>
      <c r="AC396" s="2174"/>
    </row>
    <row r="397" spans="1:29">
      <c r="A397" s="2174"/>
      <c r="B397" s="2174"/>
      <c r="C397" s="2174"/>
      <c r="D397" s="2174"/>
      <c r="E397" s="2174"/>
      <c r="F397" s="2174"/>
      <c r="G397" s="2174"/>
      <c r="H397" s="2174"/>
      <c r="I397" s="2174"/>
      <c r="J397" s="2174"/>
      <c r="K397" s="2175"/>
      <c r="L397" s="2176"/>
      <c r="M397" s="2174"/>
      <c r="N397" s="2174"/>
      <c r="O397" s="2174"/>
      <c r="P397" s="2215"/>
      <c r="Q397" s="2174"/>
      <c r="R397" s="2174"/>
      <c r="S397" s="2174"/>
      <c r="T397" s="2174"/>
      <c r="U397" s="2174"/>
      <c r="V397" s="2174"/>
      <c r="W397" s="2174"/>
      <c r="X397" s="2174"/>
      <c r="Y397" s="2174"/>
      <c r="Z397" s="2174"/>
      <c r="AA397" s="2174"/>
      <c r="AB397" s="2174"/>
      <c r="AC397" s="2174"/>
    </row>
    <row r="398" spans="1:29">
      <c r="A398" s="2174"/>
      <c r="B398" s="2174"/>
      <c r="C398" s="2174"/>
      <c r="D398" s="2174"/>
      <c r="E398" s="2174"/>
      <c r="F398" s="2174"/>
      <c r="G398" s="2174"/>
      <c r="H398" s="2174"/>
      <c r="I398" s="2174"/>
      <c r="J398" s="2174"/>
      <c r="K398" s="2175"/>
      <c r="L398" s="2176"/>
      <c r="M398" s="2174"/>
      <c r="N398" s="2174"/>
      <c r="O398" s="2174"/>
      <c r="P398" s="2215"/>
      <c r="Q398" s="2174"/>
      <c r="R398" s="2174"/>
      <c r="S398" s="2174"/>
      <c r="T398" s="2174"/>
      <c r="U398" s="2174"/>
      <c r="V398" s="2174"/>
      <c r="W398" s="2174"/>
      <c r="X398" s="2174"/>
      <c r="Y398" s="2174"/>
      <c r="Z398" s="2174"/>
      <c r="AA398" s="2174"/>
      <c r="AB398" s="2174"/>
      <c r="AC398" s="2174"/>
    </row>
    <row r="399" spans="1:29">
      <c r="A399" s="2174"/>
      <c r="B399" s="2174"/>
      <c r="C399" s="2174"/>
      <c r="D399" s="2174"/>
      <c r="E399" s="2174"/>
      <c r="F399" s="2174"/>
      <c r="G399" s="2174"/>
      <c r="H399" s="2174"/>
      <c r="I399" s="2174"/>
      <c r="J399" s="2174"/>
      <c r="K399" s="2175"/>
      <c r="L399" s="2176"/>
      <c r="M399" s="2174"/>
      <c r="N399" s="2174"/>
      <c r="O399" s="2174"/>
      <c r="P399" s="2215"/>
      <c r="Q399" s="2174"/>
      <c r="R399" s="2174"/>
      <c r="S399" s="2174"/>
      <c r="T399" s="2174"/>
      <c r="U399" s="2174"/>
      <c r="V399" s="2174"/>
      <c r="W399" s="2174"/>
      <c r="X399" s="2174"/>
      <c r="Y399" s="2174"/>
      <c r="Z399" s="2174"/>
      <c r="AA399" s="2174"/>
      <c r="AB399" s="2174"/>
      <c r="AC399" s="2174"/>
    </row>
    <row r="400" spans="1:29">
      <c r="A400" s="2174"/>
      <c r="B400" s="2174"/>
      <c r="C400" s="2174"/>
      <c r="D400" s="2174"/>
      <c r="E400" s="2174"/>
      <c r="F400" s="2174"/>
      <c r="G400" s="2174"/>
      <c r="H400" s="2174"/>
      <c r="I400" s="2174"/>
      <c r="J400" s="2174"/>
      <c r="K400" s="2175"/>
      <c r="L400" s="2176"/>
      <c r="M400" s="2174"/>
      <c r="N400" s="2174"/>
      <c r="O400" s="2174"/>
      <c r="P400" s="2215"/>
      <c r="Q400" s="2174"/>
      <c r="R400" s="2174"/>
      <c r="S400" s="2174"/>
      <c r="T400" s="2174"/>
      <c r="U400" s="2174"/>
      <c r="V400" s="2174"/>
      <c r="W400" s="2174"/>
      <c r="X400" s="2174"/>
      <c r="Y400" s="2174"/>
      <c r="Z400" s="2174"/>
      <c r="AA400" s="2174"/>
      <c r="AB400" s="2174"/>
      <c r="AC400" s="2174"/>
    </row>
    <row r="401" spans="1:29">
      <c r="A401" s="2174"/>
      <c r="B401" s="2174"/>
      <c r="C401" s="2174"/>
      <c r="D401" s="2174"/>
      <c r="E401" s="2174"/>
      <c r="F401" s="2174"/>
      <c r="G401" s="2174"/>
      <c r="H401" s="2174"/>
      <c r="I401" s="2174"/>
      <c r="J401" s="2174"/>
      <c r="K401" s="2175"/>
      <c r="L401" s="2176"/>
      <c r="M401" s="2174"/>
      <c r="N401" s="2174"/>
      <c r="O401" s="2174"/>
      <c r="P401" s="2215"/>
      <c r="Q401" s="2174"/>
      <c r="R401" s="2174"/>
      <c r="S401" s="2174"/>
      <c r="T401" s="2174"/>
      <c r="U401" s="2174"/>
      <c r="V401" s="2174"/>
      <c r="W401" s="2174"/>
      <c r="X401" s="2174"/>
      <c r="Y401" s="2174"/>
      <c r="Z401" s="2174"/>
      <c r="AA401" s="2174"/>
      <c r="AB401" s="2174"/>
      <c r="AC401" s="2174"/>
    </row>
    <row r="402" spans="1:29">
      <c r="A402" s="2174"/>
      <c r="B402" s="2174"/>
      <c r="C402" s="2174"/>
      <c r="D402" s="2174"/>
      <c r="E402" s="2174"/>
      <c r="F402" s="2174"/>
      <c r="G402" s="2174"/>
      <c r="H402" s="2174"/>
      <c r="I402" s="2174"/>
      <c r="J402" s="2174"/>
      <c r="K402" s="2175"/>
      <c r="L402" s="2176"/>
      <c r="M402" s="2174"/>
      <c r="N402" s="2174"/>
      <c r="O402" s="2174"/>
      <c r="P402" s="2215"/>
      <c r="Q402" s="2174"/>
      <c r="R402" s="2174"/>
      <c r="S402" s="2174"/>
      <c r="T402" s="2174"/>
      <c r="U402" s="2174"/>
      <c r="V402" s="2174"/>
      <c r="W402" s="2174"/>
      <c r="X402" s="2174"/>
      <c r="Y402" s="2174"/>
      <c r="Z402" s="2174"/>
      <c r="AA402" s="2174"/>
      <c r="AB402" s="2174"/>
      <c r="AC402" s="2174"/>
    </row>
    <row r="403" spans="1:29">
      <c r="A403" s="2174"/>
      <c r="B403" s="2174"/>
      <c r="C403" s="2174"/>
      <c r="D403" s="2174"/>
      <c r="E403" s="2174"/>
      <c r="F403" s="2174"/>
      <c r="G403" s="2174"/>
      <c r="H403" s="2174"/>
      <c r="I403" s="2174"/>
      <c r="J403" s="2174"/>
      <c r="K403" s="2175"/>
      <c r="L403" s="2176"/>
      <c r="M403" s="2174"/>
      <c r="N403" s="2174"/>
      <c r="O403" s="2174"/>
      <c r="P403" s="2215"/>
      <c r="Q403" s="2174"/>
      <c r="R403" s="2174"/>
      <c r="S403" s="2174"/>
      <c r="T403" s="2174"/>
      <c r="U403" s="2174"/>
      <c r="V403" s="2174"/>
      <c r="W403" s="2174"/>
      <c r="X403" s="2174"/>
      <c r="Y403" s="2174"/>
      <c r="Z403" s="2174"/>
      <c r="AA403" s="2174"/>
      <c r="AB403" s="2174"/>
      <c r="AC403" s="2174"/>
    </row>
    <row r="404" spans="1:29">
      <c r="A404" s="2174"/>
      <c r="B404" s="2174"/>
      <c r="C404" s="2174"/>
      <c r="D404" s="2174"/>
      <c r="E404" s="2174"/>
      <c r="F404" s="2174"/>
      <c r="G404" s="2174"/>
      <c r="H404" s="2174"/>
      <c r="I404" s="2174"/>
      <c r="J404" s="2174"/>
      <c r="K404" s="2175"/>
      <c r="L404" s="2176"/>
      <c r="M404" s="2174"/>
      <c r="N404" s="2174"/>
      <c r="O404" s="2174"/>
      <c r="P404" s="2215"/>
      <c r="Q404" s="2174"/>
      <c r="R404" s="2174"/>
      <c r="S404" s="2174"/>
      <c r="T404" s="2174"/>
      <c r="U404" s="2174"/>
      <c r="V404" s="2174"/>
      <c r="W404" s="2174"/>
      <c r="X404" s="2174"/>
      <c r="Y404" s="2174"/>
      <c r="Z404" s="2174"/>
      <c r="AA404" s="2174"/>
      <c r="AB404" s="2174"/>
      <c r="AC404" s="2174"/>
    </row>
    <row r="405" spans="1:29">
      <c r="A405" s="2174"/>
      <c r="B405" s="2174"/>
      <c r="C405" s="2174"/>
      <c r="D405" s="2174"/>
      <c r="E405" s="2174"/>
      <c r="F405" s="2174"/>
      <c r="G405" s="2174"/>
      <c r="H405" s="2174"/>
      <c r="I405" s="2174"/>
      <c r="J405" s="2174"/>
      <c r="K405" s="2175"/>
      <c r="L405" s="2176"/>
      <c r="M405" s="2174"/>
      <c r="N405" s="2174"/>
      <c r="O405" s="2174"/>
      <c r="P405" s="2215"/>
      <c r="Q405" s="2174"/>
      <c r="R405" s="2174"/>
      <c r="S405" s="2174"/>
      <c r="T405" s="2174"/>
      <c r="U405" s="2174"/>
      <c r="V405" s="2174"/>
      <c r="W405" s="2174"/>
      <c r="X405" s="2174"/>
      <c r="Y405" s="2174"/>
      <c r="Z405" s="2174"/>
      <c r="AA405" s="2174"/>
      <c r="AB405" s="2174"/>
      <c r="AC405" s="2174"/>
    </row>
    <row r="406" spans="1:29">
      <c r="A406" s="2174"/>
      <c r="B406" s="2174"/>
      <c r="C406" s="2174"/>
      <c r="D406" s="2174"/>
      <c r="E406" s="2174"/>
      <c r="F406" s="2174"/>
      <c r="G406" s="2174"/>
      <c r="H406" s="2174"/>
      <c r="I406" s="2174"/>
      <c r="J406" s="2174"/>
      <c r="K406" s="2175"/>
      <c r="L406" s="2176"/>
      <c r="M406" s="2174"/>
      <c r="N406" s="2174"/>
      <c r="O406" s="2174"/>
      <c r="P406" s="2215"/>
      <c r="Q406" s="2174"/>
      <c r="R406" s="2174"/>
      <c r="S406" s="2174"/>
      <c r="T406" s="2174"/>
      <c r="U406" s="2174"/>
      <c r="V406" s="2174"/>
      <c r="W406" s="2174"/>
      <c r="X406" s="2174"/>
      <c r="Y406" s="2174"/>
      <c r="Z406" s="2174"/>
      <c r="AA406" s="2174"/>
      <c r="AB406" s="2174"/>
      <c r="AC406" s="2174"/>
    </row>
    <row r="407" spans="1:29">
      <c r="A407" s="2174"/>
      <c r="B407" s="2174"/>
      <c r="C407" s="2174"/>
      <c r="D407" s="2174"/>
      <c r="E407" s="2174"/>
      <c r="F407" s="2174"/>
      <c r="G407" s="2174"/>
      <c r="H407" s="2174"/>
      <c r="I407" s="2174"/>
      <c r="J407" s="2174"/>
      <c r="K407" s="2175"/>
      <c r="L407" s="2176"/>
      <c r="M407" s="2174"/>
      <c r="N407" s="2174"/>
      <c r="O407" s="2174"/>
      <c r="P407" s="2215"/>
      <c r="Q407" s="2174"/>
      <c r="R407" s="2174"/>
      <c r="S407" s="2174"/>
      <c r="T407" s="2174"/>
      <c r="U407" s="2174"/>
      <c r="V407" s="2174"/>
      <c r="W407" s="2174"/>
      <c r="X407" s="2174"/>
      <c r="Y407" s="2174"/>
      <c r="Z407" s="2174"/>
      <c r="AA407" s="2174"/>
      <c r="AB407" s="2174"/>
      <c r="AC407" s="2174"/>
    </row>
    <row r="408" spans="1:29">
      <c r="A408" s="2174"/>
      <c r="B408" s="2174"/>
      <c r="C408" s="2174"/>
      <c r="D408" s="2174"/>
      <c r="E408" s="2174"/>
      <c r="F408" s="2174"/>
      <c r="G408" s="2174"/>
      <c r="H408" s="2174"/>
      <c r="I408" s="2174"/>
      <c r="J408" s="2174"/>
      <c r="K408" s="2175"/>
      <c r="L408" s="2176"/>
      <c r="M408" s="2174"/>
      <c r="N408" s="2174"/>
      <c r="O408" s="2174"/>
      <c r="P408" s="2215"/>
      <c r="Q408" s="2174"/>
      <c r="R408" s="2174"/>
      <c r="S408" s="2174"/>
      <c r="T408" s="2174"/>
      <c r="U408" s="2174"/>
      <c r="V408" s="2174"/>
      <c r="W408" s="2174"/>
      <c r="X408" s="2174"/>
      <c r="Y408" s="2174"/>
      <c r="Z408" s="2174"/>
      <c r="AA408" s="2174"/>
      <c r="AB408" s="2174"/>
      <c r="AC408" s="2174"/>
    </row>
    <row r="409" spans="1:29">
      <c r="A409" s="2174"/>
      <c r="B409" s="2174"/>
      <c r="C409" s="2174"/>
      <c r="D409" s="2174"/>
      <c r="E409" s="2174"/>
      <c r="F409" s="2174"/>
      <c r="G409" s="2174"/>
      <c r="H409" s="2174"/>
      <c r="I409" s="2174"/>
      <c r="J409" s="2174"/>
      <c r="K409" s="2175"/>
      <c r="L409" s="2176"/>
      <c r="M409" s="2174"/>
      <c r="N409" s="2174"/>
      <c r="O409" s="2174"/>
      <c r="P409" s="2215"/>
      <c r="Q409" s="2174"/>
      <c r="R409" s="2174"/>
      <c r="S409" s="2174"/>
      <c r="T409" s="2174"/>
      <c r="U409" s="2174"/>
      <c r="V409" s="2174"/>
      <c r="W409" s="2174"/>
      <c r="X409" s="2174"/>
      <c r="Y409" s="2174"/>
      <c r="Z409" s="2174"/>
      <c r="AA409" s="2174"/>
      <c r="AB409" s="2174"/>
      <c r="AC409" s="2174"/>
    </row>
    <row r="410" spans="1:29">
      <c r="A410" s="2174"/>
      <c r="B410" s="2174"/>
      <c r="C410" s="2174"/>
      <c r="D410" s="2174"/>
      <c r="E410" s="2174"/>
      <c r="F410" s="2174"/>
      <c r="G410" s="2174"/>
      <c r="H410" s="2174"/>
      <c r="I410" s="2174"/>
      <c r="J410" s="2174"/>
      <c r="K410" s="2175"/>
      <c r="L410" s="2176"/>
      <c r="M410" s="2174"/>
      <c r="N410" s="2174"/>
      <c r="O410" s="2174"/>
      <c r="P410" s="2215"/>
      <c r="Q410" s="2174"/>
      <c r="R410" s="2174"/>
      <c r="S410" s="2174"/>
      <c r="T410" s="2174"/>
      <c r="U410" s="2174"/>
      <c r="V410" s="2174"/>
      <c r="W410" s="2174"/>
      <c r="X410" s="2174"/>
      <c r="Y410" s="2174"/>
      <c r="Z410" s="2174"/>
      <c r="AA410" s="2174"/>
      <c r="AB410" s="2174"/>
      <c r="AC410" s="2174"/>
    </row>
    <row r="411" spans="1:29">
      <c r="A411" s="2174"/>
      <c r="B411" s="2174"/>
      <c r="C411" s="2174"/>
      <c r="D411" s="2174"/>
      <c r="E411" s="2174"/>
      <c r="F411" s="2174"/>
      <c r="G411" s="2174"/>
      <c r="H411" s="2174"/>
      <c r="I411" s="2174"/>
      <c r="J411" s="2174"/>
      <c r="K411" s="2175"/>
      <c r="L411" s="2176"/>
      <c r="M411" s="2174"/>
      <c r="N411" s="2174"/>
      <c r="O411" s="2174"/>
      <c r="P411" s="2215"/>
      <c r="Q411" s="2174"/>
      <c r="R411" s="2174"/>
      <c r="S411" s="2174"/>
      <c r="T411" s="2174"/>
      <c r="U411" s="2174"/>
      <c r="V411" s="2174"/>
      <c r="W411" s="2174"/>
      <c r="X411" s="2174"/>
      <c r="Y411" s="2174"/>
      <c r="Z411" s="2174"/>
      <c r="AA411" s="2174"/>
      <c r="AB411" s="2174"/>
      <c r="AC411" s="2174"/>
    </row>
    <row r="412" spans="1:29">
      <c r="A412" s="2174"/>
      <c r="B412" s="2174"/>
      <c r="C412" s="2174"/>
      <c r="D412" s="2174"/>
      <c r="E412" s="2174"/>
      <c r="F412" s="2174"/>
      <c r="G412" s="2174"/>
      <c r="H412" s="2174"/>
      <c r="I412" s="2174"/>
      <c r="J412" s="2174"/>
      <c r="K412" s="2175"/>
      <c r="L412" s="2176"/>
      <c r="M412" s="2174"/>
      <c r="N412" s="2174"/>
      <c r="O412" s="2174"/>
      <c r="P412" s="2215"/>
      <c r="Q412" s="2174"/>
      <c r="R412" s="2174"/>
      <c r="S412" s="2174"/>
      <c r="T412" s="2174"/>
      <c r="U412" s="2174"/>
      <c r="V412" s="2174"/>
      <c r="W412" s="2174"/>
      <c r="X412" s="2174"/>
      <c r="Y412" s="2174"/>
      <c r="Z412" s="2174"/>
      <c r="AA412" s="2174"/>
      <c r="AB412" s="2174"/>
      <c r="AC412" s="2174"/>
    </row>
    <row r="413" spans="1:29">
      <c r="A413" s="2174"/>
      <c r="B413" s="2174"/>
      <c r="C413" s="2174"/>
      <c r="D413" s="2174"/>
      <c r="E413" s="2174"/>
      <c r="F413" s="2174"/>
      <c r="G413" s="2174"/>
      <c r="H413" s="2174"/>
      <c r="I413" s="2174"/>
      <c r="J413" s="2174"/>
      <c r="K413" s="2175"/>
      <c r="L413" s="2176"/>
      <c r="M413" s="2174"/>
      <c r="N413" s="2174"/>
      <c r="O413" s="2174"/>
      <c r="P413" s="2215"/>
      <c r="Q413" s="2174"/>
      <c r="R413" s="2174"/>
      <c r="S413" s="2174"/>
      <c r="T413" s="2174"/>
      <c r="U413" s="2174"/>
      <c r="V413" s="2174"/>
      <c r="W413" s="2174"/>
      <c r="X413" s="2174"/>
      <c r="Y413" s="2174"/>
      <c r="Z413" s="2174"/>
      <c r="AA413" s="2174"/>
      <c r="AB413" s="2174"/>
      <c r="AC413" s="2174"/>
    </row>
    <row r="414" spans="1:29">
      <c r="A414" s="2174"/>
      <c r="B414" s="2174"/>
      <c r="C414" s="2174"/>
      <c r="D414" s="2174"/>
      <c r="E414" s="2174"/>
      <c r="F414" s="2174"/>
      <c r="G414" s="2174"/>
      <c r="H414" s="2174"/>
      <c r="I414" s="2174"/>
      <c r="J414" s="2174"/>
      <c r="K414" s="2175"/>
      <c r="L414" s="2176"/>
      <c r="M414" s="2174"/>
      <c r="N414" s="2174"/>
      <c r="O414" s="2174"/>
      <c r="P414" s="2215"/>
      <c r="Q414" s="2174"/>
      <c r="R414" s="2174"/>
      <c r="S414" s="2174"/>
      <c r="T414" s="2174"/>
      <c r="U414" s="2174"/>
      <c r="V414" s="2174"/>
      <c r="W414" s="2174"/>
      <c r="X414" s="2174"/>
      <c r="Y414" s="2174"/>
      <c r="Z414" s="2174"/>
      <c r="AA414" s="2174"/>
      <c r="AB414" s="2174"/>
      <c r="AC414" s="2174"/>
    </row>
    <row r="415" spans="1:29">
      <c r="A415" s="2174"/>
      <c r="B415" s="2174"/>
      <c r="C415" s="2174"/>
      <c r="D415" s="2174"/>
      <c r="E415" s="2174"/>
      <c r="F415" s="2174"/>
      <c r="G415" s="2174"/>
      <c r="H415" s="2174"/>
      <c r="I415" s="2174"/>
      <c r="J415" s="2174"/>
      <c r="K415" s="2175"/>
      <c r="L415" s="2176"/>
      <c r="M415" s="2174"/>
      <c r="N415" s="2174"/>
      <c r="O415" s="2174"/>
      <c r="P415" s="2215"/>
      <c r="Q415" s="2174"/>
      <c r="R415" s="2174"/>
      <c r="S415" s="2174"/>
      <c r="T415" s="2174"/>
      <c r="U415" s="2174"/>
      <c r="V415" s="2174"/>
      <c r="W415" s="2174"/>
      <c r="X415" s="2174"/>
      <c r="Y415" s="2174"/>
      <c r="Z415" s="2174"/>
      <c r="AA415" s="2174"/>
      <c r="AB415" s="2174"/>
      <c r="AC415" s="2174"/>
    </row>
    <row r="416" spans="1:29">
      <c r="A416" s="2174"/>
      <c r="B416" s="2174"/>
      <c r="C416" s="2174"/>
      <c r="D416" s="2174"/>
      <c r="E416" s="2174"/>
      <c r="F416" s="2174"/>
      <c r="G416" s="2174"/>
      <c r="H416" s="2174"/>
      <c r="I416" s="2174"/>
      <c r="J416" s="2174"/>
      <c r="K416" s="2175"/>
      <c r="L416" s="2176"/>
      <c r="M416" s="2174"/>
      <c r="N416" s="2174"/>
      <c r="O416" s="2174"/>
      <c r="P416" s="2215"/>
      <c r="Q416" s="2174"/>
      <c r="R416" s="2174"/>
      <c r="S416" s="2174"/>
      <c r="T416" s="2174"/>
      <c r="U416" s="2174"/>
      <c r="V416" s="2174"/>
      <c r="W416" s="2174"/>
      <c r="X416" s="2174"/>
      <c r="Y416" s="2174"/>
      <c r="Z416" s="2174"/>
      <c r="AA416" s="2174"/>
      <c r="AB416" s="2174"/>
      <c r="AC416" s="2174"/>
    </row>
    <row r="417" spans="1:29">
      <c r="A417" s="2174"/>
      <c r="B417" s="2174"/>
      <c r="C417" s="2174"/>
      <c r="D417" s="2174"/>
      <c r="E417" s="2174"/>
      <c r="F417" s="2174"/>
      <c r="G417" s="2174"/>
      <c r="H417" s="2174"/>
      <c r="I417" s="2174"/>
      <c r="J417" s="2174"/>
      <c r="K417" s="2175"/>
      <c r="L417" s="2176"/>
      <c r="M417" s="2174"/>
      <c r="N417" s="2174"/>
      <c r="O417" s="2174"/>
      <c r="P417" s="2215"/>
      <c r="Q417" s="2174"/>
      <c r="R417" s="2174"/>
      <c r="S417" s="2174"/>
      <c r="T417" s="2174"/>
      <c r="U417" s="2174"/>
      <c r="V417" s="2174"/>
      <c r="W417" s="2174"/>
      <c r="X417" s="2174"/>
      <c r="Y417" s="2174"/>
      <c r="Z417" s="2174"/>
      <c r="AA417" s="2174"/>
      <c r="AB417" s="2174"/>
      <c r="AC417" s="2174"/>
    </row>
    <row r="418" spans="1:29">
      <c r="A418" s="2174"/>
      <c r="B418" s="2174"/>
      <c r="C418" s="2174"/>
      <c r="D418" s="2174"/>
      <c r="E418" s="2174"/>
      <c r="F418" s="2174"/>
      <c r="G418" s="2174"/>
      <c r="H418" s="2174"/>
      <c r="I418" s="2174"/>
      <c r="J418" s="2174"/>
      <c r="K418" s="2175"/>
      <c r="L418" s="2176"/>
      <c r="M418" s="2174"/>
      <c r="N418" s="2174"/>
      <c r="O418" s="2174"/>
      <c r="P418" s="2215"/>
      <c r="Q418" s="2174"/>
      <c r="R418" s="2174"/>
      <c r="S418" s="2174"/>
      <c r="T418" s="2174"/>
      <c r="U418" s="2174"/>
      <c r="V418" s="2174"/>
      <c r="W418" s="2174"/>
      <c r="X418" s="2174"/>
      <c r="Y418" s="2174"/>
      <c r="Z418" s="2174"/>
      <c r="AA418" s="2174"/>
      <c r="AB418" s="2174"/>
      <c r="AC418" s="2174"/>
    </row>
    <row r="419" spans="1:29">
      <c r="A419" s="2174"/>
      <c r="B419" s="2174"/>
      <c r="C419" s="2174"/>
      <c r="D419" s="2174"/>
      <c r="E419" s="2174"/>
      <c r="F419" s="2174"/>
      <c r="G419" s="2174"/>
      <c r="H419" s="2174"/>
      <c r="I419" s="2174"/>
      <c r="J419" s="2174"/>
      <c r="K419" s="2175"/>
      <c r="L419" s="2176"/>
      <c r="M419" s="2174"/>
      <c r="N419" s="2174"/>
      <c r="O419" s="2174"/>
      <c r="P419" s="2215"/>
      <c r="Q419" s="2174"/>
      <c r="R419" s="2174"/>
      <c r="S419" s="2174"/>
      <c r="T419" s="2174"/>
      <c r="U419" s="2174"/>
      <c r="V419" s="2174"/>
      <c r="W419" s="2174"/>
      <c r="X419" s="2174"/>
      <c r="Y419" s="2174"/>
      <c r="Z419" s="2174"/>
      <c r="AA419" s="2174"/>
      <c r="AB419" s="2174"/>
      <c r="AC419" s="2174"/>
    </row>
    <row r="420" spans="1:29">
      <c r="A420" s="2174"/>
      <c r="B420" s="2174"/>
      <c r="C420" s="2174"/>
      <c r="D420" s="2174"/>
      <c r="E420" s="2174"/>
      <c r="F420" s="2174"/>
      <c r="G420" s="2174"/>
      <c r="H420" s="2174"/>
      <c r="I420" s="2174"/>
      <c r="J420" s="2174"/>
      <c r="K420" s="2175"/>
      <c r="L420" s="2176"/>
      <c r="M420" s="2174"/>
      <c r="N420" s="2174"/>
      <c r="O420" s="2174"/>
      <c r="P420" s="2215"/>
      <c r="Q420" s="2174"/>
      <c r="R420" s="2174"/>
      <c r="S420" s="2174"/>
      <c r="T420" s="2174"/>
      <c r="U420" s="2174"/>
      <c r="V420" s="2174"/>
      <c r="W420" s="2174"/>
      <c r="X420" s="2174"/>
      <c r="Y420" s="2174"/>
      <c r="Z420" s="2174"/>
      <c r="AA420" s="2174"/>
      <c r="AB420" s="2174"/>
      <c r="AC420" s="2174"/>
    </row>
    <row r="421" spans="1:29">
      <c r="A421" s="2174"/>
      <c r="B421" s="2174"/>
      <c r="C421" s="2174"/>
      <c r="D421" s="2174"/>
      <c r="E421" s="2174"/>
      <c r="F421" s="2174"/>
      <c r="G421" s="2174"/>
      <c r="H421" s="2174"/>
      <c r="I421" s="2174"/>
      <c r="J421" s="2174"/>
      <c r="K421" s="2175"/>
      <c r="L421" s="2176"/>
      <c r="M421" s="2174"/>
      <c r="N421" s="2174"/>
      <c r="O421" s="2174"/>
      <c r="P421" s="2215"/>
      <c r="Q421" s="2174"/>
      <c r="R421" s="2174"/>
      <c r="S421" s="2174"/>
      <c r="T421" s="2174"/>
      <c r="U421" s="2174"/>
      <c r="V421" s="2174"/>
      <c r="W421" s="2174"/>
      <c r="X421" s="2174"/>
      <c r="Y421" s="2174"/>
      <c r="Z421" s="2174"/>
      <c r="AA421" s="2174"/>
      <c r="AB421" s="2174"/>
      <c r="AC421" s="2174"/>
    </row>
    <row r="422" spans="1:29">
      <c r="A422" s="2174"/>
      <c r="B422" s="2174"/>
      <c r="C422" s="2174"/>
      <c r="D422" s="2174"/>
      <c r="E422" s="2174"/>
      <c r="F422" s="2174"/>
      <c r="G422" s="2174"/>
      <c r="H422" s="2174"/>
      <c r="I422" s="2174"/>
      <c r="J422" s="2174"/>
      <c r="K422" s="2175"/>
      <c r="L422" s="2176"/>
      <c r="M422" s="2174"/>
      <c r="N422" s="2174"/>
      <c r="O422" s="2174"/>
      <c r="P422" s="2215"/>
      <c r="Q422" s="2174"/>
      <c r="R422" s="2174"/>
      <c r="S422" s="2174"/>
      <c r="T422" s="2174"/>
      <c r="U422" s="2174"/>
      <c r="V422" s="2174"/>
      <c r="W422" s="2174"/>
      <c r="X422" s="2174"/>
      <c r="Y422" s="2174"/>
      <c r="Z422" s="2174"/>
      <c r="AA422" s="2174"/>
      <c r="AB422" s="2174"/>
      <c r="AC422" s="2174"/>
    </row>
    <row r="423" spans="1:29">
      <c r="A423" s="2174"/>
      <c r="B423" s="2174"/>
      <c r="C423" s="2174"/>
      <c r="D423" s="2174"/>
      <c r="E423" s="2174"/>
      <c r="F423" s="2174"/>
      <c r="G423" s="2174"/>
      <c r="H423" s="2174"/>
      <c r="I423" s="2174"/>
      <c r="J423" s="2174"/>
      <c r="K423" s="2175"/>
      <c r="L423" s="2176"/>
      <c r="M423" s="2174"/>
      <c r="N423" s="2174"/>
      <c r="O423" s="2174"/>
      <c r="P423" s="2215"/>
      <c r="Q423" s="2174"/>
      <c r="R423" s="2174"/>
      <c r="S423" s="2174"/>
      <c r="T423" s="2174"/>
      <c r="U423" s="2174"/>
      <c r="V423" s="2174"/>
      <c r="W423" s="2174"/>
      <c r="X423" s="2174"/>
      <c r="Y423" s="2174"/>
      <c r="Z423" s="2174"/>
      <c r="AA423" s="2174"/>
      <c r="AB423" s="2174"/>
      <c r="AC423" s="2174"/>
    </row>
    <row r="424" spans="1:29">
      <c r="A424" s="2174"/>
      <c r="B424" s="2174"/>
      <c r="C424" s="2174"/>
      <c r="D424" s="2174"/>
      <c r="E424" s="2174"/>
      <c r="F424" s="2174"/>
      <c r="G424" s="2174"/>
      <c r="H424" s="2174"/>
      <c r="I424" s="2174"/>
      <c r="J424" s="2174"/>
      <c r="K424" s="2175"/>
      <c r="L424" s="2176"/>
      <c r="M424" s="2174"/>
      <c r="N424" s="2174"/>
      <c r="O424" s="2174"/>
      <c r="P424" s="2215"/>
      <c r="Q424" s="2174"/>
      <c r="R424" s="2174"/>
      <c r="S424" s="2174"/>
      <c r="T424" s="2174"/>
      <c r="U424" s="2174"/>
      <c r="V424" s="2174"/>
      <c r="W424" s="2174"/>
      <c r="X424" s="2174"/>
      <c r="Y424" s="2174"/>
      <c r="Z424" s="2174"/>
      <c r="AA424" s="2174"/>
      <c r="AB424" s="2174"/>
      <c r="AC424" s="2174"/>
    </row>
    <row r="425" spans="1:29">
      <c r="A425" s="2174"/>
      <c r="B425" s="2174"/>
      <c r="C425" s="2174"/>
      <c r="D425" s="2174"/>
      <c r="E425" s="2174"/>
      <c r="F425" s="2174"/>
      <c r="G425" s="2174"/>
      <c r="H425" s="2174"/>
      <c r="I425" s="2174"/>
      <c r="J425" s="2174"/>
      <c r="K425" s="2175"/>
      <c r="L425" s="2176"/>
      <c r="M425" s="2174"/>
      <c r="N425" s="2174"/>
      <c r="O425" s="2174"/>
      <c r="P425" s="2215"/>
      <c r="Q425" s="2174"/>
      <c r="R425" s="2174"/>
      <c r="S425" s="2174"/>
      <c r="T425" s="2174"/>
      <c r="U425" s="2174"/>
      <c r="V425" s="2174"/>
      <c r="W425" s="2174"/>
      <c r="X425" s="2174"/>
      <c r="Y425" s="2174"/>
      <c r="Z425" s="2174"/>
      <c r="AA425" s="2174"/>
      <c r="AB425" s="2174"/>
      <c r="AC425" s="2174"/>
    </row>
    <row r="426" spans="1:29">
      <c r="A426" s="2174"/>
      <c r="B426" s="2174"/>
      <c r="C426" s="2174"/>
      <c r="D426" s="2174"/>
      <c r="E426" s="2174"/>
      <c r="F426" s="2174"/>
      <c r="G426" s="2174"/>
      <c r="H426" s="2174"/>
      <c r="I426" s="2174"/>
      <c r="J426" s="2174"/>
      <c r="K426" s="2175"/>
      <c r="L426" s="2176"/>
      <c r="M426" s="2174"/>
      <c r="N426" s="2174"/>
      <c r="O426" s="2174"/>
      <c r="P426" s="2215"/>
      <c r="Q426" s="2174"/>
      <c r="R426" s="2174"/>
      <c r="S426" s="2174"/>
      <c r="T426" s="2174"/>
      <c r="U426" s="2174"/>
      <c r="V426" s="2174"/>
      <c r="W426" s="2174"/>
      <c r="X426" s="2174"/>
      <c r="Y426" s="2174"/>
      <c r="Z426" s="2174"/>
      <c r="AA426" s="2174"/>
      <c r="AB426" s="2174"/>
      <c r="AC426" s="2174"/>
    </row>
    <row r="427" spans="1:29">
      <c r="A427" s="2174"/>
      <c r="B427" s="2174"/>
      <c r="C427" s="2174"/>
      <c r="D427" s="2174"/>
      <c r="E427" s="2174"/>
      <c r="F427" s="2174"/>
      <c r="G427" s="2174"/>
      <c r="H427" s="2174"/>
      <c r="I427" s="2174"/>
      <c r="J427" s="2174"/>
      <c r="K427" s="2175"/>
      <c r="L427" s="2176"/>
      <c r="M427" s="2174"/>
      <c r="N427" s="2174"/>
      <c r="O427" s="2174"/>
      <c r="P427" s="2215"/>
      <c r="Q427" s="2174"/>
      <c r="R427" s="2174"/>
      <c r="S427" s="2174"/>
      <c r="T427" s="2174"/>
      <c r="U427" s="2174"/>
      <c r="V427" s="2174"/>
      <c r="W427" s="2174"/>
      <c r="X427" s="2174"/>
      <c r="Y427" s="2174"/>
      <c r="Z427" s="2174"/>
      <c r="AA427" s="2174"/>
      <c r="AB427" s="2174"/>
      <c r="AC427" s="2174"/>
    </row>
    <row r="428" spans="1:29">
      <c r="A428" s="2174"/>
      <c r="B428" s="2174"/>
      <c r="C428" s="2174"/>
      <c r="D428" s="2174"/>
      <c r="E428" s="2174"/>
      <c r="F428" s="2174"/>
      <c r="G428" s="2174"/>
      <c r="H428" s="2174"/>
      <c r="I428" s="2174"/>
      <c r="J428" s="2174"/>
      <c r="K428" s="2175"/>
      <c r="L428" s="2176"/>
      <c r="M428" s="2174"/>
      <c r="N428" s="2174"/>
      <c r="O428" s="2174"/>
      <c r="P428" s="2215"/>
      <c r="Q428" s="2174"/>
      <c r="R428" s="2174"/>
      <c r="S428" s="2174"/>
      <c r="T428" s="2174"/>
      <c r="U428" s="2174"/>
      <c r="V428" s="2174"/>
      <c r="W428" s="2174"/>
      <c r="X428" s="2174"/>
      <c r="Y428" s="2174"/>
      <c r="Z428" s="2174"/>
      <c r="AA428" s="2174"/>
      <c r="AB428" s="2174"/>
      <c r="AC428" s="2174"/>
    </row>
    <row r="429" spans="1:29">
      <c r="A429" s="2174"/>
      <c r="B429" s="2174"/>
      <c r="C429" s="2174"/>
      <c r="D429" s="2174"/>
      <c r="E429" s="2174"/>
      <c r="F429" s="2174"/>
      <c r="G429" s="2174"/>
      <c r="H429" s="2174"/>
      <c r="I429" s="2174"/>
      <c r="J429" s="2174"/>
      <c r="K429" s="2175"/>
      <c r="L429" s="2176"/>
      <c r="M429" s="2174"/>
      <c r="N429" s="2174"/>
      <c r="O429" s="2174"/>
      <c r="P429" s="2215"/>
      <c r="Q429" s="2174"/>
      <c r="R429" s="2174"/>
      <c r="S429" s="2174"/>
      <c r="T429" s="2174"/>
      <c r="U429" s="2174"/>
      <c r="V429" s="2174"/>
      <c r="W429" s="2174"/>
      <c r="X429" s="2174"/>
      <c r="Y429" s="2174"/>
      <c r="Z429" s="2174"/>
      <c r="AA429" s="2174"/>
      <c r="AB429" s="2174"/>
      <c r="AC429" s="2174"/>
    </row>
    <row r="430" spans="1:29">
      <c r="A430" s="2174"/>
      <c r="B430" s="2174"/>
      <c r="C430" s="2174"/>
      <c r="D430" s="2174"/>
      <c r="E430" s="2174"/>
      <c r="F430" s="2174"/>
      <c r="G430" s="2174"/>
      <c r="H430" s="2174"/>
      <c r="I430" s="2174"/>
      <c r="J430" s="2174"/>
      <c r="K430" s="2175"/>
      <c r="L430" s="2176"/>
      <c r="M430" s="2174"/>
      <c r="N430" s="2174"/>
      <c r="O430" s="2174"/>
      <c r="P430" s="2215"/>
      <c r="Q430" s="2174"/>
      <c r="R430" s="2174"/>
      <c r="S430" s="2174"/>
      <c r="T430" s="2174"/>
      <c r="U430" s="2174"/>
      <c r="V430" s="2174"/>
      <c r="W430" s="2174"/>
      <c r="X430" s="2174"/>
      <c r="Y430" s="2174"/>
      <c r="Z430" s="2174"/>
      <c r="AA430" s="2174"/>
      <c r="AB430" s="2174"/>
      <c r="AC430" s="2174"/>
    </row>
    <row r="431" spans="1:29">
      <c r="A431" s="2174"/>
      <c r="B431" s="2174"/>
      <c r="C431" s="2174"/>
      <c r="D431" s="2174"/>
      <c r="E431" s="2174"/>
      <c r="F431" s="2174"/>
      <c r="G431" s="2174"/>
      <c r="H431" s="2174"/>
      <c r="I431" s="2174"/>
      <c r="J431" s="2174"/>
      <c r="K431" s="2175"/>
      <c r="L431" s="2176"/>
      <c r="M431" s="2174"/>
      <c r="N431" s="2174"/>
      <c r="O431" s="2174"/>
      <c r="P431" s="2215"/>
      <c r="Q431" s="2174"/>
      <c r="R431" s="2174"/>
      <c r="S431" s="2174"/>
      <c r="T431" s="2174"/>
      <c r="U431" s="2174"/>
      <c r="V431" s="2174"/>
      <c r="W431" s="2174"/>
      <c r="X431" s="2174"/>
      <c r="Y431" s="2174"/>
      <c r="Z431" s="2174"/>
      <c r="AA431" s="2174"/>
      <c r="AB431" s="2174"/>
      <c r="AC431" s="2174"/>
    </row>
    <row r="432" spans="1:29">
      <c r="A432" s="2174"/>
      <c r="B432" s="2174"/>
      <c r="C432" s="2174"/>
      <c r="D432" s="2174"/>
      <c r="E432" s="2174"/>
      <c r="F432" s="2174"/>
      <c r="G432" s="2174"/>
      <c r="H432" s="2174"/>
      <c r="I432" s="2174"/>
      <c r="J432" s="2174"/>
      <c r="K432" s="2175"/>
      <c r="L432" s="2176"/>
      <c r="M432" s="2174"/>
      <c r="N432" s="2174"/>
      <c r="O432" s="2174"/>
      <c r="P432" s="2215"/>
      <c r="Q432" s="2174"/>
      <c r="R432" s="2174"/>
      <c r="S432" s="2174"/>
      <c r="T432" s="2174"/>
      <c r="U432" s="2174"/>
      <c r="V432" s="2174"/>
      <c r="W432" s="2174"/>
      <c r="X432" s="2174"/>
      <c r="Y432" s="2174"/>
      <c r="Z432" s="2174"/>
      <c r="AA432" s="2174"/>
      <c r="AB432" s="2174"/>
      <c r="AC432" s="2174"/>
    </row>
    <row r="433" spans="1:29">
      <c r="A433" s="2174"/>
      <c r="B433" s="2174"/>
      <c r="C433" s="2174"/>
      <c r="D433" s="2174"/>
      <c r="E433" s="2174"/>
      <c r="F433" s="2174"/>
      <c r="G433" s="2174"/>
      <c r="H433" s="2174"/>
      <c r="I433" s="2174"/>
      <c r="J433" s="2174"/>
      <c r="K433" s="2175"/>
      <c r="L433" s="2176"/>
      <c r="M433" s="2174"/>
      <c r="N433" s="2174"/>
      <c r="O433" s="2174"/>
      <c r="P433" s="2215"/>
      <c r="Q433" s="2174"/>
      <c r="R433" s="2174"/>
      <c r="S433" s="2174"/>
      <c r="T433" s="2174"/>
      <c r="U433" s="2174"/>
      <c r="V433" s="2174"/>
      <c r="W433" s="2174"/>
      <c r="X433" s="2174"/>
      <c r="Y433" s="2174"/>
      <c r="Z433" s="2174"/>
      <c r="AA433" s="2174"/>
      <c r="AB433" s="2174"/>
      <c r="AC433" s="2174"/>
    </row>
    <row r="434" spans="1:29">
      <c r="A434" s="2174"/>
      <c r="B434" s="2174"/>
      <c r="C434" s="2174"/>
      <c r="D434" s="2174"/>
      <c r="E434" s="2174"/>
      <c r="F434" s="2174"/>
      <c r="G434" s="2174"/>
      <c r="H434" s="2174"/>
      <c r="I434" s="2174"/>
      <c r="J434" s="2174"/>
      <c r="K434" s="2175"/>
      <c r="L434" s="2176"/>
      <c r="M434" s="2174"/>
      <c r="N434" s="2174"/>
      <c r="O434" s="2174"/>
      <c r="P434" s="2215"/>
      <c r="Q434" s="2174"/>
      <c r="R434" s="2174"/>
      <c r="S434" s="2174"/>
      <c r="T434" s="2174"/>
      <c r="U434" s="2174"/>
      <c r="V434" s="2174"/>
      <c r="W434" s="2174"/>
      <c r="X434" s="2174"/>
      <c r="Y434" s="2174"/>
      <c r="Z434" s="2174"/>
      <c r="AA434" s="2174"/>
      <c r="AB434" s="2174"/>
      <c r="AC434" s="2174"/>
    </row>
    <row r="435" spans="1:29">
      <c r="A435" s="2174"/>
      <c r="B435" s="2174"/>
      <c r="C435" s="2174"/>
      <c r="D435" s="2174"/>
      <c r="E435" s="2174"/>
      <c r="F435" s="2174"/>
      <c r="G435" s="2174"/>
      <c r="H435" s="2174"/>
      <c r="I435" s="2174"/>
      <c r="J435" s="2174"/>
      <c r="K435" s="2175"/>
      <c r="L435" s="2176"/>
      <c r="M435" s="2174"/>
      <c r="N435" s="2174"/>
      <c r="O435" s="2174"/>
      <c r="P435" s="2215"/>
      <c r="Q435" s="2174"/>
      <c r="R435" s="2174"/>
      <c r="S435" s="2174"/>
      <c r="T435" s="2174"/>
      <c r="U435" s="2174"/>
      <c r="V435" s="2174"/>
      <c r="W435" s="2174"/>
      <c r="X435" s="2174"/>
      <c r="Y435" s="2174"/>
      <c r="Z435" s="2174"/>
      <c r="AA435" s="2174"/>
      <c r="AB435" s="2174"/>
      <c r="AC435" s="2174"/>
    </row>
    <row r="436" spans="1:29">
      <c r="A436" s="2174"/>
      <c r="B436" s="2174"/>
      <c r="C436" s="2174"/>
      <c r="D436" s="2174"/>
      <c r="E436" s="2174"/>
      <c r="F436" s="2174"/>
      <c r="G436" s="2174"/>
      <c r="H436" s="2174"/>
      <c r="I436" s="2174"/>
      <c r="J436" s="2174"/>
      <c r="K436" s="2175"/>
      <c r="L436" s="2176"/>
      <c r="M436" s="2174"/>
      <c r="N436" s="2174"/>
      <c r="O436" s="2174"/>
      <c r="P436" s="2215"/>
      <c r="Q436" s="2174"/>
      <c r="R436" s="2174"/>
      <c r="S436" s="2174"/>
      <c r="T436" s="2174"/>
      <c r="U436" s="2174"/>
      <c r="V436" s="2174"/>
      <c r="W436" s="2174"/>
      <c r="X436" s="2174"/>
      <c r="Y436" s="2174"/>
      <c r="Z436" s="2174"/>
      <c r="AA436" s="2174"/>
      <c r="AB436" s="2174"/>
      <c r="AC436" s="2174"/>
    </row>
    <row r="437" spans="1:29">
      <c r="A437" s="2174"/>
      <c r="B437" s="2174"/>
      <c r="C437" s="2174"/>
      <c r="D437" s="2174"/>
      <c r="E437" s="2174"/>
      <c r="F437" s="2174"/>
      <c r="G437" s="2174"/>
      <c r="H437" s="2174"/>
      <c r="I437" s="2174"/>
      <c r="J437" s="2174"/>
      <c r="K437" s="2175"/>
      <c r="L437" s="2176"/>
      <c r="M437" s="2174"/>
      <c r="N437" s="2174"/>
      <c r="O437" s="2174"/>
      <c r="P437" s="2215"/>
      <c r="Q437" s="2174"/>
      <c r="R437" s="2174"/>
      <c r="S437" s="2174"/>
      <c r="T437" s="2174"/>
      <c r="U437" s="2174"/>
      <c r="V437" s="2174"/>
      <c r="W437" s="2174"/>
      <c r="X437" s="2174"/>
      <c r="Y437" s="2174"/>
      <c r="Z437" s="2174"/>
      <c r="AA437" s="2174"/>
      <c r="AB437" s="2174"/>
      <c r="AC437" s="2174"/>
    </row>
    <row r="438" spans="1:29">
      <c r="A438" s="2174"/>
      <c r="B438" s="2174"/>
      <c r="C438" s="2174"/>
      <c r="D438" s="2174"/>
      <c r="E438" s="2174"/>
      <c r="F438" s="2174"/>
      <c r="G438" s="2174"/>
      <c r="H438" s="2174"/>
      <c r="I438" s="2174"/>
      <c r="J438" s="2174"/>
      <c r="K438" s="2175"/>
      <c r="L438" s="2176"/>
      <c r="M438" s="2174"/>
      <c r="N438" s="2174"/>
      <c r="O438" s="2174"/>
      <c r="P438" s="2215"/>
      <c r="Q438" s="2174"/>
      <c r="R438" s="2174"/>
      <c r="S438" s="2174"/>
      <c r="T438" s="2174"/>
      <c r="U438" s="2174"/>
      <c r="V438" s="2174"/>
      <c r="W438" s="2174"/>
      <c r="X438" s="2174"/>
      <c r="Y438" s="2174"/>
      <c r="Z438" s="2174"/>
      <c r="AA438" s="2174"/>
      <c r="AB438" s="2174"/>
      <c r="AC438" s="2174"/>
    </row>
    <row r="439" spans="1:29">
      <c r="A439" s="2174"/>
      <c r="B439" s="2174"/>
      <c r="C439" s="2174"/>
      <c r="D439" s="2174"/>
      <c r="E439" s="2174"/>
      <c r="F439" s="2174"/>
      <c r="G439" s="2174"/>
      <c r="H439" s="2174"/>
      <c r="I439" s="2174"/>
      <c r="J439" s="2174"/>
      <c r="K439" s="2175"/>
      <c r="L439" s="2176"/>
      <c r="M439" s="2174"/>
      <c r="N439" s="2174"/>
      <c r="O439" s="2174"/>
      <c r="P439" s="2215"/>
      <c r="Q439" s="2174"/>
      <c r="R439" s="2174"/>
      <c r="S439" s="2174"/>
      <c r="T439" s="2174"/>
      <c r="U439" s="2174"/>
      <c r="V439" s="2174"/>
      <c r="W439" s="2174"/>
      <c r="X439" s="2174"/>
      <c r="Y439" s="2174"/>
      <c r="Z439" s="2174"/>
      <c r="AA439" s="2174"/>
      <c r="AB439" s="2174"/>
      <c r="AC439" s="2174"/>
    </row>
    <row r="440" spans="1:29">
      <c r="A440" s="2174"/>
      <c r="B440" s="2174"/>
      <c r="C440" s="2174"/>
      <c r="D440" s="2174"/>
      <c r="E440" s="2174"/>
      <c r="F440" s="2174"/>
      <c r="G440" s="2174"/>
      <c r="H440" s="2174"/>
      <c r="I440" s="2174"/>
      <c r="J440" s="2174"/>
      <c r="K440" s="2175"/>
      <c r="L440" s="2176"/>
      <c r="M440" s="2174"/>
      <c r="N440" s="2174"/>
      <c r="O440" s="2174"/>
      <c r="P440" s="2215"/>
      <c r="Q440" s="2174"/>
      <c r="R440" s="2174"/>
      <c r="S440" s="2174"/>
      <c r="T440" s="2174"/>
      <c r="U440" s="2174"/>
      <c r="V440" s="2174"/>
      <c r="W440" s="2174"/>
      <c r="X440" s="2174"/>
      <c r="Y440" s="2174"/>
      <c r="Z440" s="2174"/>
      <c r="AA440" s="2174"/>
      <c r="AB440" s="2174"/>
      <c r="AC440" s="2174"/>
    </row>
    <row r="441" spans="1:29">
      <c r="A441" s="2174"/>
      <c r="B441" s="2174"/>
      <c r="C441" s="2174"/>
      <c r="D441" s="2174"/>
      <c r="E441" s="2174"/>
      <c r="F441" s="2174"/>
      <c r="G441" s="2174"/>
      <c r="H441" s="2174"/>
      <c r="I441" s="2174"/>
      <c r="J441" s="2174"/>
      <c r="K441" s="2175"/>
      <c r="L441" s="2176"/>
      <c r="M441" s="2174"/>
      <c r="N441" s="2174"/>
      <c r="O441" s="2174"/>
      <c r="P441" s="2215"/>
      <c r="Q441" s="2174"/>
      <c r="R441" s="2174"/>
      <c r="S441" s="2174"/>
      <c r="T441" s="2174"/>
      <c r="U441" s="2174"/>
      <c r="V441" s="2174"/>
      <c r="W441" s="2174"/>
      <c r="X441" s="2174"/>
      <c r="Y441" s="2174"/>
      <c r="Z441" s="2174"/>
      <c r="AA441" s="2174"/>
      <c r="AB441" s="2174"/>
      <c r="AC441" s="2174"/>
    </row>
    <row r="442" spans="1:29">
      <c r="A442" s="2174"/>
      <c r="B442" s="2174"/>
      <c r="C442" s="2174"/>
      <c r="D442" s="2174"/>
      <c r="E442" s="2174"/>
      <c r="F442" s="2174"/>
      <c r="G442" s="2174"/>
      <c r="H442" s="2174"/>
      <c r="I442" s="2174"/>
      <c r="J442" s="2174"/>
      <c r="K442" s="2175"/>
      <c r="L442" s="2176"/>
      <c r="M442" s="2174"/>
      <c r="N442" s="2174"/>
      <c r="O442" s="2174"/>
      <c r="P442" s="2215"/>
      <c r="Q442" s="2174"/>
      <c r="R442" s="2174"/>
      <c r="S442" s="2174"/>
      <c r="T442" s="2174"/>
      <c r="U442" s="2174"/>
      <c r="V442" s="2174"/>
      <c r="W442" s="2174"/>
      <c r="X442" s="2174"/>
      <c r="Y442" s="2174"/>
      <c r="Z442" s="2174"/>
      <c r="AA442" s="2174"/>
      <c r="AB442" s="2174"/>
      <c r="AC442" s="2174"/>
    </row>
    <row r="443" spans="1:29">
      <c r="A443" s="2174"/>
      <c r="B443" s="2174"/>
      <c r="C443" s="2174"/>
      <c r="D443" s="2174"/>
      <c r="E443" s="2174"/>
      <c r="F443" s="2174"/>
      <c r="G443" s="2174"/>
      <c r="H443" s="2174"/>
      <c r="I443" s="2174"/>
      <c r="J443" s="2174"/>
      <c r="K443" s="2175"/>
      <c r="L443" s="2176"/>
      <c r="M443" s="2174"/>
      <c r="N443" s="2174"/>
      <c r="O443" s="2174"/>
      <c r="P443" s="2215"/>
      <c r="Q443" s="2174"/>
      <c r="R443" s="2174"/>
      <c r="S443" s="2174"/>
      <c r="T443" s="2174"/>
      <c r="U443" s="2174"/>
      <c r="V443" s="2174"/>
      <c r="W443" s="2174"/>
      <c r="X443" s="2174"/>
      <c r="Y443" s="2174"/>
      <c r="Z443" s="2174"/>
      <c r="AA443" s="2174"/>
      <c r="AB443" s="2174"/>
      <c r="AC443" s="2174"/>
    </row>
    <row r="444" spans="1:29">
      <c r="A444" s="2174"/>
      <c r="B444" s="2174"/>
      <c r="C444" s="2174"/>
      <c r="D444" s="2174"/>
      <c r="E444" s="2174"/>
      <c r="F444" s="2174"/>
      <c r="G444" s="2174"/>
      <c r="H444" s="2174"/>
      <c r="I444" s="2174"/>
      <c r="J444" s="2174"/>
      <c r="K444" s="2175"/>
      <c r="L444" s="2176"/>
      <c r="M444" s="2174"/>
      <c r="N444" s="2174"/>
      <c r="O444" s="2174"/>
      <c r="P444" s="2215"/>
      <c r="Q444" s="2174"/>
      <c r="R444" s="2174"/>
      <c r="S444" s="2174"/>
      <c r="T444" s="2174"/>
      <c r="U444" s="2174"/>
      <c r="V444" s="2174"/>
      <c r="W444" s="2174"/>
      <c r="X444" s="2174"/>
      <c r="Y444" s="2174"/>
      <c r="Z444" s="2174"/>
      <c r="AA444" s="2174"/>
      <c r="AB444" s="2174"/>
      <c r="AC444" s="2174"/>
    </row>
    <row r="445" spans="1:29">
      <c r="A445" s="2174"/>
      <c r="B445" s="2174"/>
      <c r="C445" s="2174"/>
      <c r="D445" s="2174"/>
      <c r="E445" s="2174"/>
      <c r="F445" s="2174"/>
      <c r="G445" s="2174"/>
      <c r="H445" s="2174"/>
      <c r="I445" s="2174"/>
      <c r="J445" s="2174"/>
      <c r="K445" s="2175"/>
      <c r="L445" s="2176"/>
      <c r="M445" s="2174"/>
      <c r="N445" s="2174"/>
      <c r="O445" s="2174"/>
      <c r="P445" s="2215"/>
      <c r="Q445" s="2174"/>
      <c r="R445" s="2174"/>
      <c r="S445" s="2174"/>
      <c r="T445" s="2174"/>
      <c r="U445" s="2174"/>
      <c r="V445" s="2174"/>
      <c r="W445" s="2174"/>
      <c r="X445" s="2174"/>
      <c r="Y445" s="2174"/>
      <c r="Z445" s="2174"/>
      <c r="AA445" s="2174"/>
      <c r="AB445" s="2174"/>
      <c r="AC445" s="2174"/>
    </row>
    <row r="446" spans="1:29">
      <c r="A446" s="2174"/>
      <c r="B446" s="2174"/>
      <c r="C446" s="2174"/>
      <c r="D446" s="2174"/>
      <c r="E446" s="2174"/>
      <c r="F446" s="2174"/>
      <c r="G446" s="2174"/>
      <c r="H446" s="2174"/>
      <c r="I446" s="2174"/>
      <c r="J446" s="2174"/>
      <c r="K446" s="2175"/>
      <c r="L446" s="2176"/>
      <c r="M446" s="2174"/>
      <c r="N446" s="2174"/>
      <c r="O446" s="2174"/>
      <c r="P446" s="2215"/>
      <c r="Q446" s="2174"/>
      <c r="R446" s="2174"/>
      <c r="S446" s="2174"/>
      <c r="T446" s="2174"/>
      <c r="U446" s="2174"/>
      <c r="V446" s="2174"/>
      <c r="W446" s="2174"/>
      <c r="X446" s="2174"/>
      <c r="Y446" s="2174"/>
      <c r="Z446" s="2174"/>
      <c r="AA446" s="2174"/>
      <c r="AB446" s="2174"/>
      <c r="AC446" s="2174"/>
    </row>
    <row r="447" spans="1:29">
      <c r="A447" s="2174"/>
      <c r="B447" s="2174"/>
      <c r="C447" s="2174"/>
      <c r="D447" s="2174"/>
      <c r="E447" s="2174"/>
      <c r="F447" s="2174"/>
      <c r="G447" s="2174"/>
      <c r="H447" s="2174"/>
      <c r="I447" s="2174"/>
      <c r="J447" s="2174"/>
      <c r="K447" s="2175"/>
      <c r="L447" s="2176"/>
      <c r="M447" s="2174"/>
      <c r="N447" s="2174"/>
      <c r="O447" s="2174"/>
      <c r="P447" s="2215"/>
      <c r="Q447" s="2174"/>
      <c r="R447" s="2174"/>
      <c r="S447" s="2174"/>
      <c r="T447" s="2174"/>
      <c r="U447" s="2174"/>
      <c r="V447" s="2174"/>
      <c r="W447" s="2174"/>
      <c r="X447" s="2174"/>
      <c r="Y447" s="2174"/>
      <c r="Z447" s="2174"/>
      <c r="AA447" s="2174"/>
      <c r="AB447" s="2174"/>
      <c r="AC447" s="2174"/>
    </row>
    <row r="448" spans="1:29">
      <c r="A448" s="2174"/>
      <c r="B448" s="2174"/>
      <c r="C448" s="2174"/>
      <c r="D448" s="2174"/>
      <c r="E448" s="2174"/>
      <c r="F448" s="2174"/>
      <c r="G448" s="2174"/>
      <c r="H448" s="2174"/>
      <c r="I448" s="2174"/>
      <c r="J448" s="2174"/>
      <c r="K448" s="2175"/>
      <c r="L448" s="2176"/>
      <c r="M448" s="2174"/>
      <c r="N448" s="2174"/>
      <c r="O448" s="2174"/>
      <c r="P448" s="2215"/>
      <c r="Q448" s="2174"/>
      <c r="R448" s="2174"/>
      <c r="S448" s="2174"/>
      <c r="T448" s="2174"/>
      <c r="U448" s="2174"/>
      <c r="V448" s="2174"/>
      <c r="W448" s="2174"/>
      <c r="X448" s="2174"/>
      <c r="Y448" s="2174"/>
      <c r="Z448" s="2174"/>
      <c r="AA448" s="2174"/>
      <c r="AB448" s="2174"/>
      <c r="AC448" s="2174"/>
    </row>
    <row r="449" spans="1:29">
      <c r="A449" s="2174"/>
      <c r="B449" s="2174"/>
      <c r="C449" s="2174"/>
      <c r="D449" s="2174"/>
      <c r="E449" s="2174"/>
      <c r="F449" s="2174"/>
      <c r="G449" s="2174"/>
      <c r="H449" s="2174"/>
      <c r="I449" s="2174"/>
      <c r="J449" s="2174"/>
      <c r="K449" s="2175"/>
      <c r="L449" s="2176"/>
      <c r="M449" s="2174"/>
      <c r="N449" s="2174"/>
      <c r="O449" s="2174"/>
      <c r="P449" s="2215"/>
      <c r="Q449" s="2174"/>
      <c r="R449" s="2174"/>
      <c r="S449" s="2174"/>
      <c r="T449" s="2174"/>
      <c r="U449" s="2174"/>
      <c r="V449" s="2174"/>
      <c r="W449" s="2174"/>
      <c r="X449" s="2174"/>
      <c r="Y449" s="2174"/>
      <c r="Z449" s="2174"/>
      <c r="AA449" s="2174"/>
      <c r="AB449" s="2174"/>
      <c r="AC449" s="2174"/>
    </row>
    <row r="450" spans="1:29">
      <c r="A450" s="2174"/>
      <c r="B450" s="2174"/>
      <c r="C450" s="2174"/>
      <c r="D450" s="2174"/>
      <c r="E450" s="2174"/>
      <c r="F450" s="2174"/>
      <c r="G450" s="2174"/>
      <c r="H450" s="2174"/>
      <c r="I450" s="2174"/>
      <c r="J450" s="2174"/>
      <c r="K450" s="2175"/>
      <c r="L450" s="2176"/>
      <c r="M450" s="2174"/>
      <c r="N450" s="2174"/>
      <c r="O450" s="2174"/>
      <c r="P450" s="2215"/>
      <c r="Q450" s="2174"/>
      <c r="R450" s="2174"/>
      <c r="S450" s="2174"/>
      <c r="T450" s="2174"/>
      <c r="U450" s="2174"/>
      <c r="V450" s="2174"/>
      <c r="W450" s="2174"/>
      <c r="X450" s="2174"/>
      <c r="Y450" s="2174"/>
      <c r="Z450" s="2174"/>
      <c r="AA450" s="2174"/>
      <c r="AB450" s="2174"/>
      <c r="AC450" s="2174"/>
    </row>
    <row r="451" spans="1:29">
      <c r="A451" s="2174"/>
      <c r="B451" s="2174"/>
      <c r="C451" s="2174"/>
      <c r="D451" s="2174"/>
      <c r="E451" s="2174"/>
      <c r="F451" s="2174"/>
      <c r="G451" s="2174"/>
      <c r="H451" s="2174"/>
      <c r="I451" s="2174"/>
      <c r="J451" s="2174"/>
      <c r="K451" s="2175"/>
      <c r="L451" s="2176"/>
      <c r="M451" s="2174"/>
      <c r="N451" s="2174"/>
      <c r="O451" s="2174"/>
      <c r="P451" s="2215"/>
      <c r="Q451" s="2174"/>
      <c r="R451" s="2174"/>
      <c r="S451" s="2174"/>
      <c r="T451" s="2174"/>
      <c r="U451" s="2174"/>
      <c r="V451" s="2174"/>
      <c r="W451" s="2174"/>
      <c r="X451" s="2174"/>
      <c r="Y451" s="2174"/>
      <c r="Z451" s="2174"/>
      <c r="AA451" s="2174"/>
      <c r="AB451" s="2174"/>
      <c r="AC451" s="2174"/>
    </row>
    <row r="452" spans="1:29">
      <c r="A452" s="2174"/>
      <c r="B452" s="2174"/>
      <c r="C452" s="2174"/>
      <c r="D452" s="2174"/>
      <c r="E452" s="2174"/>
      <c r="F452" s="2174"/>
      <c r="G452" s="2174"/>
      <c r="H452" s="2174"/>
      <c r="I452" s="2174"/>
      <c r="J452" s="2174"/>
      <c r="K452" s="2175"/>
      <c r="L452" s="2176"/>
      <c r="M452" s="2174"/>
      <c r="N452" s="2174"/>
      <c r="O452" s="2174"/>
      <c r="P452" s="2215"/>
      <c r="Q452" s="2174"/>
      <c r="R452" s="2174"/>
      <c r="S452" s="2174"/>
      <c r="T452" s="2174"/>
      <c r="U452" s="2174"/>
      <c r="V452" s="2174"/>
      <c r="W452" s="2174"/>
      <c r="X452" s="2174"/>
      <c r="Y452" s="2174"/>
      <c r="Z452" s="2174"/>
      <c r="AA452" s="2174"/>
      <c r="AB452" s="2174"/>
      <c r="AC452" s="2174"/>
    </row>
    <row r="453" spans="1:29">
      <c r="A453" s="2174"/>
      <c r="B453" s="2174"/>
      <c r="C453" s="2174"/>
      <c r="D453" s="2174"/>
      <c r="E453" s="2174"/>
      <c r="F453" s="2174"/>
      <c r="G453" s="2174"/>
      <c r="H453" s="2174"/>
      <c r="I453" s="2174"/>
      <c r="J453" s="2174"/>
      <c r="K453" s="2175"/>
      <c r="L453" s="2176"/>
      <c r="M453" s="2174"/>
      <c r="N453" s="2174"/>
      <c r="O453" s="2174"/>
      <c r="P453" s="2215"/>
      <c r="Q453" s="2174"/>
      <c r="R453" s="2174"/>
      <c r="S453" s="2174"/>
      <c r="T453" s="2174"/>
      <c r="U453" s="2174"/>
      <c r="V453" s="2174"/>
      <c r="W453" s="2174"/>
      <c r="X453" s="2174"/>
      <c r="Y453" s="2174"/>
      <c r="Z453" s="2174"/>
      <c r="AA453" s="2174"/>
      <c r="AB453" s="2174"/>
      <c r="AC453" s="2174"/>
    </row>
    <row r="454" spans="1:29">
      <c r="A454" s="2174"/>
      <c r="B454" s="2174"/>
      <c r="C454" s="2174"/>
      <c r="D454" s="2174"/>
      <c r="E454" s="2174"/>
      <c r="F454" s="2174"/>
      <c r="G454" s="2174"/>
      <c r="H454" s="2174"/>
      <c r="I454" s="2174"/>
      <c r="J454" s="2174"/>
      <c r="K454" s="2175"/>
      <c r="L454" s="2176"/>
      <c r="M454" s="2174"/>
      <c r="N454" s="2174"/>
      <c r="O454" s="2174"/>
      <c r="P454" s="2215"/>
      <c r="Q454" s="2174"/>
      <c r="R454" s="2174"/>
      <c r="S454" s="2174"/>
      <c r="T454" s="2174"/>
      <c r="U454" s="2174"/>
      <c r="V454" s="2174"/>
      <c r="W454" s="2174"/>
      <c r="X454" s="2174"/>
      <c r="Y454" s="2174"/>
      <c r="Z454" s="2174"/>
      <c r="AA454" s="2174"/>
      <c r="AB454" s="2174"/>
      <c r="AC454" s="2174"/>
    </row>
    <row r="455" spans="1:29">
      <c r="A455" s="2174"/>
      <c r="B455" s="2174"/>
      <c r="C455" s="2174"/>
      <c r="D455" s="2174"/>
      <c r="E455" s="2174"/>
      <c r="F455" s="2174"/>
      <c r="G455" s="2174"/>
      <c r="H455" s="2174"/>
      <c r="I455" s="2174"/>
      <c r="J455" s="2174"/>
      <c r="K455" s="2175"/>
      <c r="L455" s="2176"/>
      <c r="M455" s="2174"/>
      <c r="N455" s="2174"/>
      <c r="O455" s="2174"/>
      <c r="P455" s="2215"/>
      <c r="Q455" s="2174"/>
      <c r="R455" s="2174"/>
      <c r="S455" s="2174"/>
      <c r="T455" s="2174"/>
      <c r="U455" s="2174"/>
      <c r="V455" s="2174"/>
      <c r="W455" s="2174"/>
      <c r="X455" s="2174"/>
      <c r="Y455" s="2174"/>
      <c r="Z455" s="2174"/>
      <c r="AA455" s="2174"/>
      <c r="AB455" s="2174"/>
      <c r="AC455" s="2174"/>
    </row>
    <row r="456" spans="1:29">
      <c r="A456" s="2174"/>
      <c r="B456" s="2174"/>
      <c r="C456" s="2174"/>
      <c r="D456" s="2174"/>
      <c r="E456" s="2174"/>
      <c r="F456" s="2174"/>
      <c r="G456" s="2174"/>
      <c r="H456" s="2174"/>
      <c r="I456" s="2174"/>
      <c r="J456" s="2174"/>
      <c r="K456" s="2175"/>
      <c r="L456" s="2176"/>
      <c r="M456" s="2174"/>
      <c r="N456" s="2174"/>
      <c r="O456" s="2174"/>
      <c r="P456" s="2215"/>
      <c r="Q456" s="2174"/>
      <c r="R456" s="2174"/>
      <c r="S456" s="2174"/>
      <c r="T456" s="2174"/>
      <c r="U456" s="2174"/>
      <c r="V456" s="2174"/>
      <c r="W456" s="2174"/>
      <c r="X456" s="2174"/>
      <c r="Y456" s="2174"/>
      <c r="Z456" s="2174"/>
      <c r="AA456" s="2174"/>
      <c r="AB456" s="2174"/>
      <c r="AC456" s="2174"/>
    </row>
    <row r="457" spans="1:29">
      <c r="A457" s="2174"/>
      <c r="B457" s="2174"/>
      <c r="C457" s="2174"/>
      <c r="D457" s="2174"/>
      <c r="E457" s="2174"/>
      <c r="F457" s="2174"/>
      <c r="G457" s="2174"/>
      <c r="H457" s="2174"/>
      <c r="I457" s="2174"/>
      <c r="J457" s="2174"/>
      <c r="K457" s="2175"/>
      <c r="L457" s="2176"/>
      <c r="M457" s="2174"/>
      <c r="N457" s="2174"/>
      <c r="O457" s="2174"/>
      <c r="P457" s="2215"/>
      <c r="Q457" s="2174"/>
      <c r="R457" s="2174"/>
      <c r="S457" s="2174"/>
      <c r="T457" s="2174"/>
      <c r="U457" s="2174"/>
      <c r="V457" s="2174"/>
      <c r="W457" s="2174"/>
      <c r="X457" s="2174"/>
      <c r="Y457" s="2174"/>
      <c r="Z457" s="2174"/>
      <c r="AA457" s="2174"/>
      <c r="AB457" s="2174"/>
      <c r="AC457" s="2174"/>
    </row>
    <row r="458" spans="1:29">
      <c r="A458" s="2174"/>
      <c r="B458" s="2174"/>
      <c r="C458" s="2174"/>
      <c r="D458" s="2174"/>
      <c r="E458" s="2174"/>
      <c r="F458" s="2174"/>
      <c r="G458" s="2174"/>
      <c r="H458" s="2174"/>
      <c r="I458" s="2174"/>
      <c r="J458" s="2174"/>
      <c r="K458" s="2175"/>
      <c r="L458" s="2176"/>
      <c r="M458" s="2174"/>
      <c r="N458" s="2174"/>
      <c r="O458" s="2174"/>
      <c r="P458" s="2215"/>
      <c r="Q458" s="2174"/>
      <c r="R458" s="2174"/>
      <c r="S458" s="2174"/>
      <c r="T458" s="2174"/>
      <c r="U458" s="2174"/>
      <c r="V458" s="2174"/>
      <c r="W458" s="2174"/>
      <c r="X458" s="2174"/>
      <c r="Y458" s="2174"/>
      <c r="Z458" s="2174"/>
      <c r="AA458" s="2174"/>
      <c r="AB458" s="2174"/>
      <c r="AC458" s="2174"/>
    </row>
    <row r="459" spans="1:29">
      <c r="A459" s="2174"/>
      <c r="B459" s="2174"/>
      <c r="C459" s="2174"/>
      <c r="D459" s="2174"/>
      <c r="E459" s="2174"/>
      <c r="F459" s="2174"/>
      <c r="G459" s="2174"/>
      <c r="H459" s="2174"/>
      <c r="I459" s="2174"/>
      <c r="J459" s="2174"/>
      <c r="K459" s="2175"/>
      <c r="L459" s="2176"/>
      <c r="M459" s="2174"/>
      <c r="N459" s="2174"/>
      <c r="O459" s="2174"/>
      <c r="P459" s="2215"/>
      <c r="Q459" s="2174"/>
      <c r="R459" s="2174"/>
      <c r="S459" s="2174"/>
      <c r="T459" s="2174"/>
      <c r="U459" s="2174"/>
      <c r="V459" s="2174"/>
      <c r="W459" s="2174"/>
      <c r="X459" s="2174"/>
      <c r="Y459" s="2174"/>
      <c r="Z459" s="2174"/>
      <c r="AA459" s="2174"/>
      <c r="AB459" s="2174"/>
      <c r="AC459" s="2174"/>
    </row>
    <row r="460" spans="1:29">
      <c r="A460" s="2174"/>
      <c r="B460" s="2174"/>
      <c r="C460" s="2174"/>
      <c r="D460" s="2174"/>
      <c r="E460" s="2174"/>
      <c r="F460" s="2174"/>
      <c r="G460" s="2174"/>
      <c r="H460" s="2174"/>
      <c r="I460" s="2174"/>
      <c r="J460" s="2174"/>
      <c r="K460" s="2175"/>
      <c r="L460" s="2176"/>
      <c r="M460" s="2174"/>
      <c r="N460" s="2174"/>
      <c r="O460" s="2174"/>
      <c r="P460" s="2215"/>
      <c r="Q460" s="2174"/>
      <c r="R460" s="2174"/>
      <c r="S460" s="2174"/>
      <c r="T460" s="2174"/>
      <c r="U460" s="2174"/>
      <c r="V460" s="2174"/>
      <c r="W460" s="2174"/>
      <c r="X460" s="2174"/>
      <c r="Y460" s="2174"/>
      <c r="Z460" s="2174"/>
      <c r="AA460" s="2174"/>
      <c r="AB460" s="2174"/>
      <c r="AC460" s="2174"/>
    </row>
    <row r="461" spans="1:29">
      <c r="A461" s="2174"/>
      <c r="B461" s="2174"/>
      <c r="C461" s="2174"/>
      <c r="D461" s="2174"/>
      <c r="E461" s="2174"/>
      <c r="F461" s="2174"/>
      <c r="G461" s="2174"/>
      <c r="H461" s="2174"/>
      <c r="I461" s="2174"/>
      <c r="J461" s="2174"/>
      <c r="K461" s="2175"/>
      <c r="L461" s="2176"/>
      <c r="M461" s="2174"/>
      <c r="N461" s="2174"/>
      <c r="O461" s="2174"/>
      <c r="P461" s="2215"/>
      <c r="Q461" s="2174"/>
      <c r="R461" s="2174"/>
      <c r="S461" s="2174"/>
      <c r="T461" s="2174"/>
      <c r="U461" s="2174"/>
      <c r="V461" s="2174"/>
      <c r="W461" s="2174"/>
      <c r="X461" s="2174"/>
      <c r="Y461" s="2174"/>
      <c r="Z461" s="2174"/>
      <c r="AA461" s="2174"/>
      <c r="AB461" s="2174"/>
      <c r="AC461" s="2174"/>
    </row>
    <row r="462" spans="1:29">
      <c r="A462" s="2174"/>
      <c r="B462" s="2174"/>
      <c r="C462" s="2174"/>
      <c r="D462" s="2174"/>
      <c r="E462" s="2174"/>
      <c r="F462" s="2174"/>
      <c r="G462" s="2174"/>
      <c r="H462" s="2174"/>
      <c r="I462" s="2174"/>
      <c r="J462" s="2174"/>
      <c r="K462" s="2175"/>
      <c r="L462" s="2176"/>
      <c r="M462" s="2174"/>
      <c r="N462" s="2174"/>
      <c r="O462" s="2174"/>
      <c r="P462" s="2215"/>
      <c r="Q462" s="2174"/>
      <c r="R462" s="2174"/>
      <c r="S462" s="2174"/>
      <c r="T462" s="2174"/>
      <c r="U462" s="2174"/>
      <c r="V462" s="2174"/>
      <c r="W462" s="2174"/>
      <c r="X462" s="2174"/>
      <c r="Y462" s="2174"/>
      <c r="Z462" s="2174"/>
      <c r="AA462" s="2174"/>
      <c r="AB462" s="2174"/>
      <c r="AC462" s="2174"/>
    </row>
    <row r="463" spans="1:29">
      <c r="A463" s="2174"/>
      <c r="B463" s="2174"/>
      <c r="C463" s="2174"/>
      <c r="D463" s="2174"/>
      <c r="E463" s="2174"/>
      <c r="F463" s="2174"/>
      <c r="G463" s="2174"/>
      <c r="H463" s="2174"/>
      <c r="I463" s="2174"/>
      <c r="J463" s="2174"/>
      <c r="K463" s="2175"/>
      <c r="L463" s="2176"/>
      <c r="M463" s="2174"/>
      <c r="N463" s="2174"/>
      <c r="O463" s="2174"/>
      <c r="P463" s="2215"/>
      <c r="Q463" s="2174"/>
      <c r="R463" s="2174"/>
      <c r="S463" s="2174"/>
      <c r="T463" s="2174"/>
      <c r="U463" s="2174"/>
      <c r="V463" s="2174"/>
      <c r="W463" s="2174"/>
      <c r="X463" s="2174"/>
      <c r="Y463" s="2174"/>
      <c r="Z463" s="2174"/>
      <c r="AA463" s="2174"/>
      <c r="AB463" s="2174"/>
      <c r="AC463" s="2174"/>
    </row>
    <row r="464" spans="1:29">
      <c r="A464" s="2174"/>
      <c r="B464" s="2174"/>
      <c r="C464" s="2174"/>
      <c r="D464" s="2174"/>
      <c r="E464" s="2174"/>
      <c r="F464" s="2174"/>
      <c r="G464" s="2174"/>
      <c r="H464" s="2174"/>
      <c r="I464" s="2174"/>
      <c r="J464" s="2174"/>
      <c r="K464" s="2175"/>
      <c r="L464" s="2176"/>
      <c r="M464" s="2174"/>
      <c r="N464" s="2174"/>
      <c r="O464" s="2174"/>
      <c r="P464" s="2215"/>
      <c r="Q464" s="2174"/>
      <c r="R464" s="2174"/>
      <c r="S464" s="2174"/>
      <c r="T464" s="2174"/>
      <c r="U464" s="2174"/>
      <c r="V464" s="2174"/>
      <c r="W464" s="2174"/>
      <c r="X464" s="2174"/>
      <c r="Y464" s="2174"/>
      <c r="Z464" s="2174"/>
      <c r="AA464" s="2174"/>
      <c r="AB464" s="2174"/>
      <c r="AC464" s="2174"/>
    </row>
    <row r="465" spans="1:29">
      <c r="A465" s="2174"/>
      <c r="B465" s="2174"/>
      <c r="C465" s="2174"/>
      <c r="D465" s="2174"/>
      <c r="E465" s="2174"/>
      <c r="F465" s="2174"/>
      <c r="G465" s="2174"/>
      <c r="H465" s="2174"/>
      <c r="I465" s="2174"/>
      <c r="J465" s="2174"/>
      <c r="K465" s="2175"/>
      <c r="L465" s="2176"/>
      <c r="M465" s="2174"/>
      <c r="N465" s="2174"/>
      <c r="O465" s="2174"/>
      <c r="P465" s="2215"/>
      <c r="Q465" s="2174"/>
      <c r="R465" s="2174"/>
      <c r="S465" s="2174"/>
      <c r="T465" s="2174"/>
      <c r="U465" s="2174"/>
      <c r="V465" s="2174"/>
      <c r="W465" s="2174"/>
      <c r="X465" s="2174"/>
      <c r="Y465" s="2174"/>
      <c r="Z465" s="2174"/>
      <c r="AA465" s="2174"/>
      <c r="AB465" s="2174"/>
      <c r="AC465" s="2174"/>
    </row>
    <row r="466" spans="1:29">
      <c r="A466" s="2174"/>
      <c r="B466" s="2174"/>
      <c r="C466" s="2174"/>
      <c r="D466" s="2174"/>
      <c r="E466" s="2174"/>
      <c r="F466" s="2174"/>
      <c r="G466" s="2174"/>
      <c r="H466" s="2174"/>
      <c r="I466" s="2174"/>
      <c r="J466" s="2174"/>
      <c r="K466" s="2175"/>
      <c r="L466" s="2176"/>
      <c r="M466" s="2174"/>
      <c r="N466" s="2174"/>
      <c r="O466" s="2174"/>
      <c r="P466" s="2215"/>
      <c r="Q466" s="2174"/>
      <c r="R466" s="2174"/>
      <c r="S466" s="2174"/>
      <c r="T466" s="2174"/>
      <c r="U466" s="2174"/>
      <c r="V466" s="2174"/>
      <c r="W466" s="2174"/>
      <c r="X466" s="2174"/>
      <c r="Y466" s="2174"/>
      <c r="Z466" s="2174"/>
      <c r="AA466" s="2174"/>
      <c r="AB466" s="2174"/>
      <c r="AC466" s="2174"/>
    </row>
    <row r="467" spans="1:29">
      <c r="A467" s="2174"/>
      <c r="B467" s="2174"/>
      <c r="C467" s="2174"/>
      <c r="D467" s="2174"/>
      <c r="E467" s="2174"/>
      <c r="F467" s="2174"/>
      <c r="G467" s="2174"/>
      <c r="H467" s="2174"/>
      <c r="I467" s="2174"/>
      <c r="J467" s="2174"/>
      <c r="K467" s="2175"/>
      <c r="L467" s="2176"/>
      <c r="M467" s="2174"/>
      <c r="N467" s="2174"/>
      <c r="O467" s="2174"/>
      <c r="P467" s="2215"/>
      <c r="Q467" s="2174"/>
      <c r="R467" s="2174"/>
      <c r="S467" s="2174"/>
      <c r="T467" s="2174"/>
      <c r="U467" s="2174"/>
      <c r="V467" s="2174"/>
      <c r="W467" s="2174"/>
      <c r="X467" s="2174"/>
      <c r="Y467" s="2174"/>
      <c r="Z467" s="2174"/>
      <c r="AA467" s="2174"/>
      <c r="AB467" s="2174"/>
      <c r="AC467" s="2174"/>
    </row>
    <row r="468" spans="1:29">
      <c r="A468" s="2174"/>
      <c r="B468" s="2174"/>
      <c r="C468" s="2174"/>
      <c r="D468" s="2174"/>
      <c r="E468" s="2174"/>
      <c r="F468" s="2174"/>
      <c r="G468" s="2174"/>
      <c r="H468" s="2174"/>
      <c r="I468" s="2174"/>
      <c r="J468" s="2174"/>
      <c r="K468" s="2175"/>
      <c r="L468" s="2176"/>
      <c r="M468" s="2174"/>
      <c r="N468" s="2174"/>
      <c r="O468" s="2174"/>
      <c r="P468" s="2215"/>
      <c r="Q468" s="2174"/>
      <c r="R468" s="2174"/>
      <c r="S468" s="2174"/>
      <c r="T468" s="2174"/>
      <c r="U468" s="2174"/>
      <c r="V468" s="2174"/>
      <c r="W468" s="2174"/>
      <c r="X468" s="2174"/>
      <c r="Y468" s="2174"/>
      <c r="Z468" s="2174"/>
      <c r="AA468" s="2174"/>
      <c r="AB468" s="2174"/>
      <c r="AC468" s="2174"/>
    </row>
    <row r="469" spans="1:29">
      <c r="A469" s="2174"/>
      <c r="B469" s="2174"/>
      <c r="C469" s="2174"/>
      <c r="D469" s="2174"/>
      <c r="E469" s="2174"/>
      <c r="F469" s="2174"/>
      <c r="G469" s="2174"/>
      <c r="H469" s="2174"/>
      <c r="I469" s="2174"/>
      <c r="J469" s="2174"/>
      <c r="K469" s="2175"/>
      <c r="L469" s="2176"/>
      <c r="M469" s="2174"/>
      <c r="N469" s="2174"/>
      <c r="O469" s="2174"/>
      <c r="P469" s="2215"/>
      <c r="Q469" s="2174"/>
      <c r="R469" s="2174"/>
      <c r="S469" s="2174"/>
      <c r="T469" s="2174"/>
      <c r="U469" s="2174"/>
      <c r="V469" s="2174"/>
      <c r="W469" s="2174"/>
      <c r="X469" s="2174"/>
      <c r="Y469" s="2174"/>
      <c r="Z469" s="2174"/>
      <c r="AA469" s="2174"/>
      <c r="AB469" s="2174"/>
      <c r="AC469" s="2174"/>
    </row>
    <row r="470" spans="1:29">
      <c r="A470" s="2174"/>
      <c r="B470" s="2174"/>
      <c r="C470" s="2174"/>
      <c r="D470" s="2174"/>
      <c r="E470" s="2174"/>
      <c r="F470" s="2174"/>
      <c r="G470" s="2174"/>
      <c r="H470" s="2174"/>
      <c r="I470" s="2174"/>
      <c r="J470" s="2174"/>
      <c r="K470" s="2175"/>
      <c r="L470" s="2176"/>
      <c r="M470" s="2174"/>
      <c r="N470" s="2174"/>
      <c r="O470" s="2174"/>
      <c r="P470" s="2215"/>
      <c r="Q470" s="2174"/>
      <c r="R470" s="2174"/>
      <c r="S470" s="2174"/>
      <c r="T470" s="2174"/>
      <c r="U470" s="2174"/>
      <c r="V470" s="2174"/>
      <c r="W470" s="2174"/>
      <c r="X470" s="2174"/>
      <c r="Y470" s="2174"/>
      <c r="Z470" s="2174"/>
      <c r="AA470" s="2174"/>
      <c r="AB470" s="2174"/>
      <c r="AC470" s="2174"/>
    </row>
    <row r="471" spans="1:29">
      <c r="A471" s="2174"/>
      <c r="B471" s="2174"/>
      <c r="C471" s="2174"/>
      <c r="D471" s="2174"/>
      <c r="E471" s="2174"/>
      <c r="F471" s="2174"/>
      <c r="G471" s="2174"/>
      <c r="H471" s="2174"/>
      <c r="I471" s="2174"/>
      <c r="J471" s="2174"/>
      <c r="K471" s="2175"/>
      <c r="L471" s="2176"/>
      <c r="M471" s="2174"/>
      <c r="N471" s="2174"/>
      <c r="O471" s="2174"/>
      <c r="P471" s="2215"/>
      <c r="Q471" s="2174"/>
      <c r="R471" s="2174"/>
      <c r="S471" s="2174"/>
      <c r="T471" s="2174"/>
      <c r="U471" s="2174"/>
      <c r="V471" s="2174"/>
      <c r="W471" s="2174"/>
      <c r="X471" s="2174"/>
      <c r="Y471" s="2174"/>
      <c r="Z471" s="2174"/>
      <c r="AA471" s="2174"/>
      <c r="AB471" s="2174"/>
      <c r="AC471" s="2174"/>
    </row>
    <row r="472" spans="1:29">
      <c r="A472" s="2174"/>
      <c r="B472" s="2174"/>
      <c r="C472" s="2174"/>
      <c r="D472" s="2174"/>
      <c r="E472" s="2174"/>
      <c r="F472" s="2174"/>
      <c r="G472" s="2174"/>
      <c r="H472" s="2174"/>
      <c r="I472" s="2174"/>
      <c r="J472" s="2174"/>
      <c r="K472" s="2175"/>
      <c r="L472" s="2176"/>
      <c r="M472" s="2174"/>
      <c r="N472" s="2174"/>
      <c r="O472" s="2174"/>
      <c r="P472" s="2215"/>
      <c r="Q472" s="2174"/>
      <c r="R472" s="2174"/>
      <c r="S472" s="2174"/>
      <c r="T472" s="2174"/>
      <c r="U472" s="2174"/>
      <c r="V472" s="2174"/>
      <c r="W472" s="2174"/>
      <c r="X472" s="2174"/>
      <c r="Y472" s="2174"/>
      <c r="Z472" s="2174"/>
      <c r="AA472" s="2174"/>
      <c r="AB472" s="2174"/>
      <c r="AC472" s="2174"/>
    </row>
    <row r="473" spans="1:29">
      <c r="A473" s="2174"/>
      <c r="B473" s="2174"/>
      <c r="C473" s="2174"/>
      <c r="D473" s="2174"/>
      <c r="E473" s="2174"/>
      <c r="F473" s="2174"/>
      <c r="G473" s="2174"/>
      <c r="H473" s="2174"/>
      <c r="I473" s="2174"/>
      <c r="J473" s="2174"/>
      <c r="K473" s="2175"/>
      <c r="L473" s="2176"/>
      <c r="M473" s="2174"/>
      <c r="N473" s="2174"/>
      <c r="O473" s="2174"/>
      <c r="P473" s="2215"/>
      <c r="Q473" s="2174"/>
      <c r="R473" s="2174"/>
      <c r="S473" s="2174"/>
      <c r="T473" s="2174"/>
      <c r="U473" s="2174"/>
      <c r="V473" s="2174"/>
      <c r="W473" s="2174"/>
      <c r="X473" s="2174"/>
      <c r="Y473" s="2174"/>
      <c r="Z473" s="2174"/>
      <c r="AA473" s="2174"/>
      <c r="AB473" s="2174"/>
      <c r="AC473" s="2174"/>
    </row>
    <row r="474" spans="1:29">
      <c r="A474" s="2174"/>
      <c r="B474" s="2174"/>
      <c r="C474" s="2174"/>
      <c r="D474" s="2174"/>
      <c r="E474" s="2174"/>
      <c r="F474" s="2174"/>
      <c r="G474" s="2174"/>
      <c r="H474" s="2174"/>
      <c r="I474" s="2174"/>
      <c r="J474" s="2174"/>
      <c r="K474" s="2175"/>
      <c r="L474" s="2176"/>
      <c r="M474" s="2174"/>
      <c r="N474" s="2174"/>
      <c r="O474" s="2174"/>
      <c r="P474" s="2215"/>
      <c r="Q474" s="2174"/>
      <c r="R474" s="2174"/>
      <c r="S474" s="2174"/>
      <c r="T474" s="2174"/>
      <c r="U474" s="2174"/>
      <c r="V474" s="2174"/>
      <c r="W474" s="2174"/>
      <c r="X474" s="2174"/>
      <c r="Y474" s="2174"/>
      <c r="Z474" s="2174"/>
      <c r="AA474" s="2174"/>
      <c r="AB474" s="2174"/>
      <c r="AC474" s="2174"/>
    </row>
    <row r="475" spans="1:29">
      <c r="A475" s="2174"/>
      <c r="B475" s="2174"/>
      <c r="C475" s="2174"/>
      <c r="D475" s="2174"/>
      <c r="E475" s="2174"/>
      <c r="F475" s="2174"/>
      <c r="G475" s="2174"/>
      <c r="H475" s="2174"/>
      <c r="I475" s="2174"/>
      <c r="J475" s="2174"/>
      <c r="K475" s="2175"/>
      <c r="L475" s="2176"/>
      <c r="M475" s="2174"/>
      <c r="N475" s="2174"/>
      <c r="O475" s="2174"/>
      <c r="P475" s="2215"/>
      <c r="Q475" s="2174"/>
      <c r="R475" s="2174"/>
      <c r="S475" s="2174"/>
      <c r="T475" s="2174"/>
      <c r="U475" s="2174"/>
      <c r="V475" s="2174"/>
      <c r="W475" s="2174"/>
      <c r="X475" s="2174"/>
      <c r="Y475" s="2174"/>
      <c r="Z475" s="2174"/>
      <c r="AA475" s="2174"/>
      <c r="AB475" s="2174"/>
      <c r="AC475" s="2174"/>
    </row>
    <row r="476" spans="1:29">
      <c r="A476" s="2174"/>
      <c r="B476" s="2174"/>
      <c r="C476" s="2174"/>
      <c r="D476" s="2174"/>
      <c r="E476" s="2174"/>
      <c r="F476" s="2174"/>
      <c r="G476" s="2174"/>
      <c r="H476" s="2174"/>
      <c r="I476" s="2174"/>
      <c r="J476" s="2174"/>
      <c r="K476" s="2175"/>
      <c r="L476" s="2176"/>
      <c r="M476" s="2174"/>
      <c r="N476" s="2174"/>
      <c r="O476" s="2174"/>
      <c r="P476" s="2215"/>
      <c r="Q476" s="2174"/>
      <c r="R476" s="2174"/>
      <c r="S476" s="2174"/>
      <c r="T476" s="2174"/>
      <c r="U476" s="2174"/>
      <c r="V476" s="2174"/>
      <c r="W476" s="2174"/>
      <c r="X476" s="2174"/>
      <c r="Y476" s="2174"/>
      <c r="Z476" s="2174"/>
      <c r="AA476" s="2174"/>
      <c r="AB476" s="2174"/>
      <c r="AC476" s="2174"/>
    </row>
    <row r="477" spans="1:29">
      <c r="A477" s="2174"/>
      <c r="B477" s="2174"/>
      <c r="C477" s="2174"/>
      <c r="D477" s="2174"/>
      <c r="E477" s="2174"/>
      <c r="F477" s="2174"/>
      <c r="G477" s="2174"/>
      <c r="H477" s="2174"/>
      <c r="I477" s="2174"/>
      <c r="J477" s="2174"/>
      <c r="K477" s="2175"/>
      <c r="L477" s="2176"/>
      <c r="M477" s="2174"/>
      <c r="N477" s="2174"/>
      <c r="O477" s="2174"/>
      <c r="P477" s="2215"/>
      <c r="Q477" s="2174"/>
      <c r="R477" s="2174"/>
      <c r="S477" s="2174"/>
      <c r="T477" s="2174"/>
      <c r="U477" s="2174"/>
      <c r="V477" s="2174"/>
      <c r="W477" s="2174"/>
      <c r="X477" s="2174"/>
      <c r="Y477" s="2174"/>
      <c r="Z477" s="2174"/>
      <c r="AA477" s="2174"/>
      <c r="AB477" s="2174"/>
      <c r="AC477" s="2174"/>
    </row>
    <row r="478" spans="1:29">
      <c r="A478" s="2174"/>
      <c r="B478" s="2174"/>
      <c r="C478" s="2174"/>
      <c r="D478" s="2174"/>
      <c r="E478" s="2174"/>
      <c r="F478" s="2174"/>
      <c r="G478" s="2174"/>
      <c r="H478" s="2174"/>
      <c r="I478" s="2174"/>
      <c r="J478" s="2174"/>
      <c r="K478" s="2175"/>
      <c r="L478" s="2176"/>
      <c r="M478" s="2174"/>
      <c r="N478" s="2174"/>
      <c r="O478" s="2174"/>
      <c r="P478" s="2215"/>
      <c r="Q478" s="2174"/>
      <c r="R478" s="2174"/>
      <c r="S478" s="2174"/>
      <c r="T478" s="2174"/>
      <c r="U478" s="2174"/>
      <c r="V478" s="2174"/>
      <c r="W478" s="2174"/>
      <c r="X478" s="2174"/>
      <c r="Y478" s="2174"/>
      <c r="Z478" s="2174"/>
      <c r="AA478" s="2174"/>
      <c r="AB478" s="2174"/>
      <c r="AC478" s="2174"/>
    </row>
    <row r="479" spans="1:29">
      <c r="A479" s="2174"/>
      <c r="B479" s="2174"/>
      <c r="C479" s="2174"/>
      <c r="D479" s="2174"/>
      <c r="E479" s="2174"/>
      <c r="F479" s="2174"/>
      <c r="G479" s="2174"/>
      <c r="H479" s="2174"/>
      <c r="I479" s="2174"/>
      <c r="J479" s="2174"/>
      <c r="K479" s="2175"/>
      <c r="L479" s="2176"/>
      <c r="M479" s="2174"/>
      <c r="N479" s="2174"/>
      <c r="O479" s="2174"/>
      <c r="P479" s="2215"/>
      <c r="Q479" s="2174"/>
      <c r="R479" s="2174"/>
      <c r="S479" s="2174"/>
      <c r="T479" s="2174"/>
      <c r="U479" s="2174"/>
      <c r="V479" s="2174"/>
      <c r="W479" s="2174"/>
      <c r="X479" s="2174"/>
      <c r="Y479" s="2174"/>
      <c r="Z479" s="2174"/>
      <c r="AA479" s="2174"/>
      <c r="AB479" s="2174"/>
      <c r="AC479" s="2174"/>
    </row>
    <row r="480" spans="1:29">
      <c r="A480" s="2174"/>
      <c r="B480" s="2174"/>
      <c r="C480" s="2174"/>
      <c r="D480" s="2174"/>
      <c r="E480" s="2174"/>
      <c r="F480" s="2174"/>
      <c r="G480" s="2174"/>
      <c r="H480" s="2174"/>
      <c r="I480" s="2174"/>
      <c r="J480" s="2174"/>
      <c r="K480" s="2175"/>
      <c r="L480" s="2176"/>
      <c r="M480" s="2174"/>
      <c r="N480" s="2174"/>
      <c r="O480" s="2174"/>
      <c r="P480" s="2215"/>
      <c r="Q480" s="2174"/>
      <c r="R480" s="2174"/>
      <c r="S480" s="2174"/>
      <c r="T480" s="2174"/>
      <c r="U480" s="2174"/>
      <c r="V480" s="2174"/>
      <c r="W480" s="2174"/>
      <c r="X480" s="2174"/>
      <c r="Y480" s="2174"/>
      <c r="Z480" s="2174"/>
      <c r="AA480" s="2174"/>
      <c r="AB480" s="2174"/>
      <c r="AC480" s="2174"/>
    </row>
    <row r="481" spans="1:29">
      <c r="A481" s="2174"/>
      <c r="B481" s="2174"/>
      <c r="C481" s="2174"/>
      <c r="D481" s="2174"/>
      <c r="E481" s="2174"/>
      <c r="F481" s="2174"/>
      <c r="G481" s="2174"/>
      <c r="H481" s="2174"/>
      <c r="I481" s="2174"/>
      <c r="J481" s="2174"/>
      <c r="K481" s="2175"/>
      <c r="L481" s="2176"/>
      <c r="M481" s="2174"/>
      <c r="N481" s="2174"/>
      <c r="O481" s="2174"/>
      <c r="P481" s="2215"/>
      <c r="Q481" s="2174"/>
      <c r="R481" s="2174"/>
      <c r="S481" s="2174"/>
      <c r="T481" s="2174"/>
      <c r="U481" s="2174"/>
      <c r="V481" s="2174"/>
      <c r="W481" s="2174"/>
      <c r="X481" s="2174"/>
      <c r="Y481" s="2174"/>
      <c r="Z481" s="2174"/>
      <c r="AA481" s="2174"/>
      <c r="AB481" s="2174"/>
      <c r="AC481" s="2174"/>
    </row>
    <row r="482" spans="1:29">
      <c r="A482" s="2174"/>
      <c r="B482" s="2174"/>
      <c r="C482" s="2174"/>
      <c r="D482" s="2174"/>
      <c r="E482" s="2174"/>
      <c r="F482" s="2174"/>
      <c r="G482" s="2174"/>
      <c r="H482" s="2174"/>
      <c r="I482" s="2174"/>
      <c r="J482" s="2174"/>
      <c r="K482" s="2175"/>
      <c r="L482" s="2176"/>
      <c r="M482" s="2174"/>
      <c r="N482" s="2174"/>
      <c r="O482" s="2174"/>
      <c r="P482" s="2215"/>
      <c r="Q482" s="2174"/>
      <c r="R482" s="2174"/>
      <c r="S482" s="2174"/>
      <c r="T482" s="2174"/>
      <c r="U482" s="2174"/>
      <c r="V482" s="2174"/>
      <c r="W482" s="2174"/>
      <c r="X482" s="2174"/>
      <c r="Y482" s="2174"/>
      <c r="Z482" s="2174"/>
      <c r="AA482" s="2174"/>
      <c r="AB482" s="2174"/>
      <c r="AC482" s="2174"/>
    </row>
    <row r="483" spans="1:29">
      <c r="A483" s="2174"/>
      <c r="B483" s="2174"/>
      <c r="C483" s="2174"/>
      <c r="D483" s="2174"/>
      <c r="E483" s="2174"/>
      <c r="F483" s="2174"/>
      <c r="G483" s="2174"/>
      <c r="H483" s="2174"/>
      <c r="I483" s="2174"/>
      <c r="J483" s="2174"/>
      <c r="K483" s="2175"/>
      <c r="L483" s="2176"/>
      <c r="M483" s="2174"/>
      <c r="N483" s="2174"/>
      <c r="O483" s="2174"/>
      <c r="P483" s="2215"/>
      <c r="Q483" s="2174"/>
      <c r="R483" s="2174"/>
      <c r="S483" s="2174"/>
      <c r="T483" s="2174"/>
      <c r="U483" s="2174"/>
      <c r="V483" s="2174"/>
      <c r="W483" s="2174"/>
      <c r="X483" s="2174"/>
      <c r="Y483" s="2174"/>
      <c r="Z483" s="2174"/>
      <c r="AA483" s="2174"/>
      <c r="AB483" s="2174"/>
      <c r="AC483" s="2174"/>
    </row>
    <row r="484" spans="1:29">
      <c r="A484" s="2174"/>
      <c r="B484" s="2174"/>
      <c r="C484" s="2174"/>
      <c r="D484" s="2174"/>
      <c r="E484" s="2174"/>
      <c r="F484" s="2174"/>
      <c r="G484" s="2174"/>
      <c r="H484" s="2174"/>
      <c r="I484" s="2174"/>
      <c r="J484" s="2174"/>
      <c r="K484" s="2175"/>
      <c r="L484" s="2176"/>
      <c r="M484" s="2174"/>
      <c r="N484" s="2174"/>
      <c r="O484" s="2174"/>
      <c r="P484" s="2215"/>
      <c r="Q484" s="2174"/>
      <c r="R484" s="2174"/>
      <c r="S484" s="2174"/>
      <c r="T484" s="2174"/>
      <c r="U484" s="2174"/>
      <c r="V484" s="2174"/>
      <c r="W484" s="2174"/>
      <c r="X484" s="2174"/>
      <c r="Y484" s="2174"/>
      <c r="Z484" s="2174"/>
      <c r="AA484" s="2174"/>
      <c r="AB484" s="2174"/>
      <c r="AC484" s="2174"/>
    </row>
    <row r="485" spans="1:29">
      <c r="A485" s="2174"/>
      <c r="B485" s="2174"/>
      <c r="C485" s="2174"/>
      <c r="D485" s="2174"/>
      <c r="E485" s="2174"/>
      <c r="F485" s="2174"/>
      <c r="G485" s="2174"/>
      <c r="H485" s="2174"/>
      <c r="I485" s="2174"/>
      <c r="J485" s="2174"/>
      <c r="K485" s="2175"/>
      <c r="L485" s="2176"/>
      <c r="M485" s="2174"/>
      <c r="N485" s="2174"/>
      <c r="O485" s="2174"/>
      <c r="P485" s="2215"/>
      <c r="Q485" s="2174"/>
      <c r="R485" s="2174"/>
      <c r="S485" s="2174"/>
      <c r="T485" s="2174"/>
      <c r="U485" s="2174"/>
      <c r="V485" s="2174"/>
      <c r="W485" s="2174"/>
      <c r="X485" s="2174"/>
      <c r="Y485" s="2174"/>
      <c r="Z485" s="2174"/>
      <c r="AA485" s="2174"/>
      <c r="AB485" s="2174"/>
      <c r="AC485" s="2174"/>
    </row>
    <row r="486" spans="1:29">
      <c r="A486" s="2174"/>
      <c r="B486" s="2174"/>
      <c r="C486" s="2174"/>
      <c r="D486" s="2174"/>
      <c r="E486" s="2174"/>
      <c r="F486" s="2174"/>
      <c r="G486" s="2174"/>
      <c r="H486" s="2174"/>
      <c r="I486" s="2174"/>
      <c r="J486" s="2174"/>
      <c r="K486" s="2175"/>
      <c r="L486" s="2176"/>
      <c r="M486" s="2174"/>
      <c r="N486" s="2174"/>
      <c r="O486" s="2174"/>
      <c r="P486" s="2215"/>
      <c r="Q486" s="2174"/>
      <c r="R486" s="2174"/>
      <c r="S486" s="2174"/>
      <c r="T486" s="2174"/>
      <c r="U486" s="2174"/>
      <c r="V486" s="2174"/>
      <c r="W486" s="2174"/>
      <c r="X486" s="2174"/>
      <c r="Y486" s="2174"/>
      <c r="Z486" s="2174"/>
      <c r="AA486" s="2174"/>
      <c r="AB486" s="2174"/>
      <c r="AC486" s="2174"/>
    </row>
    <row r="487" spans="1:29">
      <c r="A487" s="2174"/>
      <c r="B487" s="2174"/>
      <c r="C487" s="2174"/>
      <c r="D487" s="2174"/>
      <c r="E487" s="2174"/>
      <c r="F487" s="2174"/>
      <c r="G487" s="2174"/>
      <c r="H487" s="2174"/>
      <c r="I487" s="2174"/>
      <c r="J487" s="2174"/>
      <c r="K487" s="2175"/>
      <c r="L487" s="2176"/>
      <c r="M487" s="2174"/>
      <c r="N487" s="2174"/>
      <c r="O487" s="2174"/>
      <c r="P487" s="2215"/>
      <c r="Q487" s="2174"/>
      <c r="R487" s="2174"/>
      <c r="S487" s="2174"/>
      <c r="T487" s="2174"/>
      <c r="U487" s="2174"/>
      <c r="V487" s="2174"/>
      <c r="W487" s="2174"/>
      <c r="X487" s="2174"/>
      <c r="Y487" s="2174"/>
      <c r="Z487" s="2174"/>
      <c r="AA487" s="2174"/>
      <c r="AB487" s="2174"/>
      <c r="AC487" s="2174"/>
    </row>
    <row r="488" spans="1:29">
      <c r="A488" s="2174"/>
      <c r="B488" s="2174"/>
      <c r="C488" s="2174"/>
      <c r="D488" s="2174"/>
      <c r="E488" s="2174"/>
      <c r="F488" s="2174"/>
      <c r="G488" s="2174"/>
      <c r="H488" s="2174"/>
      <c r="I488" s="2174"/>
      <c r="J488" s="2174"/>
      <c r="K488" s="2175"/>
      <c r="L488" s="2176"/>
      <c r="M488" s="2174"/>
      <c r="N488" s="2174"/>
      <c r="O488" s="2174"/>
      <c r="P488" s="2215"/>
      <c r="Q488" s="2174"/>
      <c r="R488" s="2174"/>
      <c r="S488" s="2174"/>
      <c r="T488" s="2174"/>
      <c r="U488" s="2174"/>
      <c r="V488" s="2174"/>
      <c r="W488" s="2174"/>
      <c r="X488" s="2174"/>
      <c r="Y488" s="2174"/>
      <c r="Z488" s="2174"/>
      <c r="AA488" s="2174"/>
      <c r="AB488" s="2174"/>
      <c r="AC488" s="2174"/>
    </row>
    <row r="489" spans="1:29">
      <c r="A489" s="2174"/>
      <c r="B489" s="2174"/>
      <c r="C489" s="2174"/>
      <c r="D489" s="2174"/>
      <c r="E489" s="2174"/>
      <c r="F489" s="2174"/>
      <c r="G489" s="2174"/>
      <c r="H489" s="2174"/>
      <c r="I489" s="2174"/>
      <c r="J489" s="2174"/>
      <c r="K489" s="2175"/>
      <c r="L489" s="2176"/>
      <c r="M489" s="2174"/>
      <c r="N489" s="2174"/>
      <c r="O489" s="2174"/>
      <c r="P489" s="2215"/>
      <c r="Q489" s="2174"/>
      <c r="R489" s="2174"/>
      <c r="S489" s="2174"/>
      <c r="T489" s="2174"/>
      <c r="U489" s="2174"/>
      <c r="V489" s="2174"/>
      <c r="W489" s="2174"/>
      <c r="X489" s="2174"/>
      <c r="Y489" s="2174"/>
      <c r="Z489" s="2174"/>
      <c r="AA489" s="2174"/>
      <c r="AB489" s="2174"/>
      <c r="AC489" s="2174"/>
    </row>
    <row r="490" spans="1:29">
      <c r="A490" s="2174"/>
      <c r="B490" s="2174"/>
      <c r="C490" s="2174"/>
      <c r="D490" s="2174"/>
      <c r="E490" s="2174"/>
      <c r="F490" s="2174"/>
      <c r="G490" s="2174"/>
      <c r="H490" s="2174"/>
      <c r="I490" s="2174"/>
      <c r="J490" s="2174"/>
      <c r="K490" s="2175"/>
      <c r="L490" s="2176"/>
      <c r="M490" s="2174"/>
      <c r="N490" s="2174"/>
      <c r="O490" s="2174"/>
      <c r="P490" s="2215"/>
      <c r="Q490" s="2174"/>
      <c r="R490" s="2174"/>
      <c r="S490" s="2174"/>
      <c r="T490" s="2174"/>
      <c r="U490" s="2174"/>
      <c r="V490" s="2174"/>
      <c r="W490" s="2174"/>
      <c r="X490" s="2174"/>
      <c r="Y490" s="2174"/>
      <c r="Z490" s="2174"/>
      <c r="AA490" s="2174"/>
      <c r="AB490" s="2174"/>
      <c r="AC490" s="2174"/>
    </row>
    <row r="491" spans="1:29">
      <c r="A491" s="2174"/>
      <c r="B491" s="2174"/>
      <c r="C491" s="2174"/>
      <c r="D491" s="2174"/>
      <c r="E491" s="2174"/>
      <c r="F491" s="2174"/>
      <c r="G491" s="2174"/>
      <c r="H491" s="2174"/>
      <c r="I491" s="2174"/>
      <c r="J491" s="2174"/>
      <c r="K491" s="2175"/>
      <c r="L491" s="2176"/>
      <c r="M491" s="2174"/>
      <c r="N491" s="2174"/>
      <c r="O491" s="2174"/>
      <c r="P491" s="2215"/>
      <c r="Q491" s="2174"/>
      <c r="R491" s="2174"/>
      <c r="S491" s="2174"/>
      <c r="T491" s="2174"/>
      <c r="U491" s="2174"/>
      <c r="V491" s="2174"/>
      <c r="W491" s="2174"/>
      <c r="X491" s="2174"/>
      <c r="Y491" s="2174"/>
      <c r="Z491" s="2174"/>
      <c r="AA491" s="2174"/>
      <c r="AB491" s="2174"/>
      <c r="AC491" s="2174"/>
    </row>
    <row r="492" spans="1:29">
      <c r="A492" s="2174"/>
      <c r="B492" s="2174"/>
      <c r="C492" s="2174"/>
      <c r="D492" s="2174"/>
      <c r="E492" s="2174"/>
      <c r="F492" s="2174"/>
      <c r="G492" s="2174"/>
      <c r="H492" s="2174"/>
      <c r="I492" s="2174"/>
      <c r="J492" s="2174"/>
      <c r="K492" s="2175"/>
      <c r="L492" s="2176"/>
      <c r="M492" s="2174"/>
      <c r="N492" s="2174"/>
      <c r="O492" s="2174"/>
      <c r="P492" s="2215"/>
      <c r="Q492" s="2174"/>
      <c r="R492" s="2174"/>
      <c r="S492" s="2174"/>
      <c r="T492" s="2174"/>
      <c r="U492" s="2174"/>
      <c r="V492" s="2174"/>
      <c r="W492" s="2174"/>
      <c r="X492" s="2174"/>
      <c r="Y492" s="2174"/>
      <c r="Z492" s="2174"/>
      <c r="AA492" s="2174"/>
      <c r="AB492" s="2174"/>
      <c r="AC492" s="2174"/>
    </row>
    <row r="493" spans="1:29">
      <c r="A493" s="2174"/>
      <c r="B493" s="2174"/>
      <c r="C493" s="2174"/>
      <c r="D493" s="2174"/>
      <c r="E493" s="2174"/>
      <c r="F493" s="2174"/>
      <c r="G493" s="2174"/>
      <c r="H493" s="2174"/>
      <c r="I493" s="2174"/>
      <c r="J493" s="2174"/>
      <c r="K493" s="2175"/>
      <c r="L493" s="2176"/>
      <c r="M493" s="2174"/>
      <c r="N493" s="2174"/>
      <c r="O493" s="2174"/>
      <c r="P493" s="2215"/>
      <c r="Q493" s="2174"/>
      <c r="R493" s="2174"/>
      <c r="S493" s="2174"/>
      <c r="T493" s="2174"/>
      <c r="U493" s="2174"/>
      <c r="V493" s="2174"/>
      <c r="W493" s="2174"/>
      <c r="X493" s="2174"/>
      <c r="Y493" s="2174"/>
      <c r="Z493" s="2174"/>
      <c r="AA493" s="2174"/>
      <c r="AB493" s="2174"/>
      <c r="AC493" s="2174"/>
    </row>
    <row r="494" spans="1:29">
      <c r="A494" s="2174"/>
      <c r="B494" s="2174"/>
      <c r="C494" s="2174"/>
      <c r="D494" s="2174"/>
      <c r="E494" s="2174"/>
      <c r="F494" s="2174"/>
      <c r="G494" s="2174"/>
      <c r="H494" s="2174"/>
      <c r="I494" s="2174"/>
      <c r="J494" s="2174"/>
      <c r="K494" s="2175"/>
      <c r="L494" s="2176"/>
      <c r="M494" s="2174"/>
      <c r="N494" s="2174"/>
      <c r="O494" s="2174"/>
      <c r="P494" s="2215"/>
      <c r="Q494" s="2174"/>
      <c r="R494" s="2174"/>
      <c r="S494" s="2174"/>
      <c r="T494" s="2174"/>
      <c r="U494" s="2174"/>
      <c r="V494" s="2174"/>
      <c r="W494" s="2174"/>
      <c r="X494" s="2174"/>
      <c r="Y494" s="2174"/>
      <c r="Z494" s="2174"/>
      <c r="AA494" s="2174"/>
      <c r="AB494" s="2174"/>
      <c r="AC494" s="2174"/>
    </row>
    <row r="495" spans="1:29">
      <c r="A495" s="2174"/>
      <c r="B495" s="2174"/>
      <c r="C495" s="2174"/>
      <c r="D495" s="2174"/>
      <c r="E495" s="2174"/>
      <c r="F495" s="2174"/>
      <c r="G495" s="2174"/>
      <c r="H495" s="2174"/>
      <c r="I495" s="2174"/>
      <c r="J495" s="2174"/>
      <c r="K495" s="2175"/>
      <c r="L495" s="2176"/>
      <c r="M495" s="2174"/>
      <c r="N495" s="2174"/>
      <c r="O495" s="2174"/>
      <c r="P495" s="2215"/>
      <c r="Q495" s="2174"/>
      <c r="R495" s="2174"/>
      <c r="S495" s="2174"/>
      <c r="T495" s="2174"/>
      <c r="U495" s="2174"/>
      <c r="V495" s="2174"/>
      <c r="W495" s="2174"/>
      <c r="X495" s="2174"/>
      <c r="Y495" s="2174"/>
      <c r="Z495" s="2174"/>
      <c r="AA495" s="2174"/>
      <c r="AB495" s="2174"/>
      <c r="AC495" s="2174"/>
    </row>
    <row r="496" spans="1:29">
      <c r="A496" s="2174"/>
      <c r="B496" s="2174"/>
      <c r="C496" s="2174"/>
      <c r="D496" s="2174"/>
      <c r="E496" s="2174"/>
      <c r="F496" s="2174"/>
      <c r="G496" s="2174"/>
      <c r="H496" s="2174"/>
      <c r="I496" s="2174"/>
      <c r="J496" s="2174"/>
      <c r="K496" s="2175"/>
      <c r="L496" s="2176"/>
      <c r="M496" s="2174"/>
      <c r="N496" s="2174"/>
      <c r="O496" s="2174"/>
      <c r="P496" s="2215"/>
      <c r="Q496" s="2174"/>
      <c r="R496" s="2174"/>
      <c r="S496" s="2174"/>
      <c r="T496" s="2174"/>
      <c r="U496" s="2174"/>
      <c r="V496" s="2174"/>
      <c r="W496" s="2174"/>
      <c r="X496" s="2174"/>
      <c r="Y496" s="2174"/>
      <c r="Z496" s="2174"/>
      <c r="AA496" s="2174"/>
      <c r="AB496" s="2174"/>
      <c r="AC496" s="2174"/>
    </row>
    <row r="497" spans="1:29">
      <c r="A497" s="2174"/>
      <c r="B497" s="2174"/>
      <c r="C497" s="2174"/>
      <c r="D497" s="2174"/>
      <c r="E497" s="2174"/>
      <c r="F497" s="2174"/>
      <c r="G497" s="2174"/>
      <c r="H497" s="2174"/>
      <c r="I497" s="2174"/>
      <c r="J497" s="2174"/>
      <c r="K497" s="2175"/>
      <c r="L497" s="2176"/>
      <c r="M497" s="2174"/>
      <c r="N497" s="2174"/>
      <c r="O497" s="2174"/>
      <c r="P497" s="2215"/>
      <c r="Q497" s="2174"/>
      <c r="R497" s="2174"/>
      <c r="S497" s="2174"/>
      <c r="T497" s="2174"/>
      <c r="U497" s="2174"/>
      <c r="V497" s="2174"/>
      <c r="W497" s="2174"/>
      <c r="X497" s="2174"/>
      <c r="Y497" s="2174"/>
      <c r="Z497" s="2174"/>
      <c r="AA497" s="2174"/>
      <c r="AB497" s="2174"/>
      <c r="AC497" s="2174"/>
    </row>
    <row r="498" spans="1:29">
      <c r="A498" s="2174"/>
      <c r="B498" s="2174"/>
      <c r="C498" s="2174"/>
      <c r="D498" s="2174"/>
      <c r="E498" s="2174"/>
      <c r="F498" s="2174"/>
      <c r="G498" s="2174"/>
      <c r="H498" s="2174"/>
      <c r="I498" s="2174"/>
      <c r="J498" s="2174"/>
      <c r="K498" s="2175"/>
      <c r="L498" s="2176"/>
      <c r="M498" s="2174"/>
      <c r="N498" s="2174"/>
      <c r="O498" s="2174"/>
      <c r="P498" s="2215"/>
      <c r="Q498" s="2174"/>
      <c r="R498" s="2174"/>
      <c r="S498" s="2174"/>
      <c r="T498" s="2174"/>
      <c r="U498" s="2174"/>
      <c r="V498" s="2174"/>
      <c r="W498" s="2174"/>
      <c r="X498" s="2174"/>
      <c r="Y498" s="2174"/>
      <c r="Z498" s="2174"/>
      <c r="AA498" s="2174"/>
      <c r="AB498" s="2174"/>
      <c r="AC498" s="2174"/>
    </row>
    <row r="499" spans="1:29">
      <c r="A499" s="2174"/>
      <c r="B499" s="2174"/>
      <c r="C499" s="2174"/>
      <c r="D499" s="2174"/>
      <c r="E499" s="2174"/>
      <c r="F499" s="2174"/>
      <c r="G499" s="2174"/>
      <c r="H499" s="2174"/>
      <c r="I499" s="2174"/>
      <c r="J499" s="2174"/>
      <c r="K499" s="2175"/>
      <c r="L499" s="2176"/>
      <c r="M499" s="2174"/>
      <c r="N499" s="2174"/>
      <c r="O499" s="2174"/>
      <c r="P499" s="2215"/>
      <c r="Q499" s="2174"/>
      <c r="R499" s="2174"/>
      <c r="S499" s="2174"/>
      <c r="T499" s="2174"/>
      <c r="U499" s="2174"/>
      <c r="V499" s="2174"/>
      <c r="W499" s="2174"/>
      <c r="X499" s="2174"/>
      <c r="Y499" s="2174"/>
      <c r="Z499" s="2174"/>
      <c r="AA499" s="2174"/>
      <c r="AB499" s="2174"/>
      <c r="AC499" s="2174"/>
    </row>
    <row r="500" spans="1:29">
      <c r="A500" s="2174"/>
      <c r="B500" s="2174"/>
      <c r="C500" s="2174"/>
      <c r="D500" s="2174"/>
      <c r="E500" s="2174"/>
      <c r="F500" s="2174"/>
      <c r="G500" s="2174"/>
      <c r="H500" s="2174"/>
      <c r="I500" s="2174"/>
      <c r="J500" s="2174"/>
      <c r="K500" s="2175"/>
      <c r="L500" s="2176"/>
      <c r="M500" s="2174"/>
      <c r="N500" s="2174"/>
      <c r="O500" s="2174"/>
      <c r="P500" s="2215"/>
      <c r="Q500" s="2174"/>
      <c r="R500" s="2174"/>
      <c r="S500" s="2174"/>
      <c r="T500" s="2174"/>
      <c r="U500" s="2174"/>
      <c r="V500" s="2174"/>
      <c r="W500" s="2174"/>
      <c r="X500" s="2174"/>
      <c r="Y500" s="2174"/>
      <c r="Z500" s="2174"/>
      <c r="AA500" s="2174"/>
      <c r="AB500" s="2174"/>
      <c r="AC500" s="2174"/>
    </row>
    <row r="501" spans="1:29">
      <c r="A501" s="2174"/>
      <c r="B501" s="2174"/>
      <c r="C501" s="2174"/>
      <c r="D501" s="2174"/>
      <c r="E501" s="2174"/>
      <c r="F501" s="2174"/>
      <c r="G501" s="2174"/>
      <c r="H501" s="2174"/>
      <c r="I501" s="2174"/>
      <c r="J501" s="2174"/>
      <c r="K501" s="2175"/>
      <c r="L501" s="2176"/>
      <c r="M501" s="2174"/>
      <c r="N501" s="2174"/>
      <c r="O501" s="2174"/>
      <c r="P501" s="2215"/>
      <c r="Q501" s="2174"/>
      <c r="R501" s="2174"/>
      <c r="S501" s="2174"/>
      <c r="T501" s="2174"/>
      <c r="U501" s="2174"/>
      <c r="V501" s="2174"/>
      <c r="W501" s="2174"/>
      <c r="X501" s="2174"/>
      <c r="Y501" s="2174"/>
      <c r="Z501" s="2174"/>
      <c r="AA501" s="2174"/>
      <c r="AB501" s="2174"/>
      <c r="AC501" s="2174"/>
    </row>
    <row r="502" spans="1:29">
      <c r="A502" s="2174"/>
      <c r="B502" s="2174"/>
      <c r="C502" s="2174"/>
      <c r="D502" s="2174"/>
      <c r="E502" s="2174"/>
      <c r="F502" s="2174"/>
      <c r="G502" s="2174"/>
      <c r="H502" s="2174"/>
      <c r="I502" s="2174"/>
      <c r="J502" s="2174"/>
      <c r="K502" s="2175"/>
      <c r="L502" s="2176"/>
      <c r="M502" s="2174"/>
      <c r="N502" s="2174"/>
      <c r="O502" s="2174"/>
      <c r="P502" s="2215"/>
      <c r="Q502" s="2174"/>
      <c r="R502" s="2174"/>
      <c r="S502" s="2174"/>
      <c r="T502" s="2174"/>
      <c r="U502" s="2174"/>
      <c r="V502" s="2174"/>
      <c r="W502" s="2174"/>
      <c r="X502" s="2174"/>
      <c r="Y502" s="2174"/>
      <c r="Z502" s="2174"/>
      <c r="AA502" s="2174"/>
      <c r="AB502" s="2174"/>
      <c r="AC502" s="2174"/>
    </row>
    <row r="503" spans="1:29">
      <c r="A503" s="2174"/>
      <c r="B503" s="2174"/>
      <c r="C503" s="2174"/>
      <c r="D503" s="2174"/>
      <c r="E503" s="2174"/>
      <c r="F503" s="2174"/>
      <c r="G503" s="2174"/>
      <c r="H503" s="2174"/>
      <c r="I503" s="2174"/>
      <c r="J503" s="2174"/>
      <c r="K503" s="2175"/>
      <c r="L503" s="2176"/>
      <c r="M503" s="2174"/>
      <c r="N503" s="2174"/>
      <c r="O503" s="2174"/>
      <c r="P503" s="2215"/>
      <c r="Q503" s="2174"/>
      <c r="R503" s="2174"/>
      <c r="S503" s="2174"/>
      <c r="T503" s="2174"/>
      <c r="U503" s="2174"/>
      <c r="V503" s="2174"/>
      <c r="W503" s="2174"/>
      <c r="X503" s="2174"/>
      <c r="Y503" s="2174"/>
      <c r="Z503" s="2174"/>
      <c r="AA503" s="2174"/>
      <c r="AB503" s="2174"/>
      <c r="AC503" s="2174"/>
    </row>
    <row r="504" spans="1:29">
      <c r="A504" s="2174"/>
      <c r="B504" s="2174"/>
      <c r="C504" s="2174"/>
      <c r="D504" s="2174"/>
      <c r="E504" s="2174"/>
      <c r="F504" s="2174"/>
      <c r="G504" s="2174"/>
      <c r="H504" s="2174"/>
      <c r="I504" s="2174"/>
      <c r="J504" s="2174"/>
      <c r="K504" s="2175"/>
      <c r="L504" s="2176"/>
      <c r="M504" s="2174"/>
      <c r="N504" s="2174"/>
      <c r="O504" s="2174"/>
      <c r="P504" s="2215"/>
      <c r="Q504" s="2174"/>
      <c r="R504" s="2174"/>
      <c r="S504" s="2174"/>
      <c r="T504" s="2174"/>
      <c r="U504" s="2174"/>
      <c r="V504" s="2174"/>
      <c r="W504" s="2174"/>
      <c r="X504" s="2174"/>
      <c r="Y504" s="2174"/>
      <c r="Z504" s="2174"/>
      <c r="AA504" s="2174"/>
      <c r="AB504" s="2174"/>
      <c r="AC504" s="2174"/>
    </row>
    <row r="505" spans="1:29">
      <c r="A505" s="2174"/>
      <c r="B505" s="2174"/>
      <c r="C505" s="2174"/>
      <c r="D505" s="2174"/>
      <c r="E505" s="2174"/>
      <c r="F505" s="2174"/>
      <c r="G505" s="2174"/>
      <c r="H505" s="2174"/>
      <c r="I505" s="2174"/>
      <c r="J505" s="2174"/>
      <c r="K505" s="2175"/>
      <c r="L505" s="2176"/>
      <c r="M505" s="2174"/>
      <c r="N505" s="2174"/>
      <c r="O505" s="2174"/>
      <c r="P505" s="2215"/>
      <c r="Q505" s="2174"/>
      <c r="R505" s="2174"/>
      <c r="S505" s="2174"/>
      <c r="T505" s="2174"/>
      <c r="U505" s="2174"/>
      <c r="V505" s="2174"/>
      <c r="W505" s="2174"/>
      <c r="X505" s="2174"/>
      <c r="Y505" s="2174"/>
      <c r="Z505" s="2174"/>
      <c r="AA505" s="2174"/>
      <c r="AB505" s="2174"/>
      <c r="AC505" s="2174"/>
    </row>
    <row r="506" spans="1:29">
      <c r="A506" s="2174"/>
      <c r="B506" s="2174"/>
      <c r="C506" s="2174"/>
      <c r="D506" s="2174"/>
      <c r="E506" s="2174"/>
      <c r="F506" s="2174"/>
      <c r="G506" s="2174"/>
      <c r="H506" s="2174"/>
      <c r="I506" s="2174"/>
      <c r="J506" s="2174"/>
      <c r="K506" s="2175"/>
      <c r="L506" s="2176"/>
      <c r="M506" s="2174"/>
      <c r="N506" s="2174"/>
      <c r="O506" s="2174"/>
      <c r="P506" s="2215"/>
      <c r="Q506" s="2174"/>
      <c r="R506" s="2174"/>
      <c r="S506" s="2174"/>
      <c r="T506" s="2174"/>
      <c r="U506" s="2174"/>
      <c r="V506" s="2174"/>
      <c r="W506" s="2174"/>
      <c r="X506" s="2174"/>
      <c r="Y506" s="2174"/>
      <c r="Z506" s="2174"/>
      <c r="AA506" s="2174"/>
      <c r="AB506" s="2174"/>
      <c r="AC506" s="2174"/>
    </row>
    <row r="507" spans="1:29">
      <c r="A507" s="2174"/>
      <c r="B507" s="2174"/>
      <c r="C507" s="2174"/>
      <c r="D507" s="2174"/>
      <c r="E507" s="2174"/>
      <c r="F507" s="2174"/>
      <c r="G507" s="2174"/>
      <c r="H507" s="2174"/>
      <c r="I507" s="2174"/>
      <c r="J507" s="2174"/>
      <c r="K507" s="2175"/>
      <c r="L507" s="2176"/>
      <c r="M507" s="2174"/>
      <c r="N507" s="2174"/>
      <c r="O507" s="2174"/>
      <c r="P507" s="2215"/>
      <c r="Q507" s="2174"/>
      <c r="R507" s="2174"/>
      <c r="S507" s="2174"/>
      <c r="T507" s="2174"/>
      <c r="U507" s="2174"/>
      <c r="V507" s="2174"/>
      <c r="W507" s="2174"/>
      <c r="X507" s="2174"/>
      <c r="Y507" s="2174"/>
      <c r="Z507" s="2174"/>
      <c r="AA507" s="2174"/>
      <c r="AB507" s="2174"/>
      <c r="AC507" s="2174"/>
    </row>
    <row r="508" spans="1:29">
      <c r="A508" s="2174"/>
      <c r="B508" s="2174"/>
      <c r="C508" s="2174"/>
      <c r="D508" s="2174"/>
      <c r="E508" s="2174"/>
      <c r="F508" s="2174"/>
      <c r="G508" s="2174"/>
      <c r="H508" s="2174"/>
      <c r="I508" s="2174"/>
      <c r="J508" s="2174"/>
      <c r="K508" s="2175"/>
      <c r="L508" s="2176"/>
      <c r="M508" s="2174"/>
      <c r="N508" s="2174"/>
      <c r="O508" s="2174"/>
      <c r="P508" s="2215"/>
      <c r="Q508" s="2174"/>
      <c r="R508" s="2174"/>
      <c r="S508" s="2174"/>
      <c r="T508" s="2174"/>
      <c r="U508" s="2174"/>
      <c r="V508" s="2174"/>
      <c r="W508" s="2174"/>
      <c r="X508" s="2174"/>
      <c r="Y508" s="2174"/>
      <c r="Z508" s="2174"/>
      <c r="AA508" s="2174"/>
      <c r="AB508" s="2174"/>
      <c r="AC508" s="2174"/>
    </row>
    <row r="509" spans="1:29">
      <c r="A509" s="2174"/>
      <c r="B509" s="2174"/>
      <c r="C509" s="2174"/>
      <c r="D509" s="2174"/>
      <c r="E509" s="2174"/>
      <c r="F509" s="2174"/>
      <c r="G509" s="2174"/>
      <c r="H509" s="2174"/>
      <c r="I509" s="2174"/>
      <c r="J509" s="2174"/>
      <c r="K509" s="2175"/>
      <c r="L509" s="2176"/>
      <c r="M509" s="2174"/>
      <c r="N509" s="2174"/>
      <c r="O509" s="2174"/>
      <c r="P509" s="2215"/>
      <c r="Q509" s="2174"/>
      <c r="R509" s="2174"/>
      <c r="S509" s="2174"/>
      <c r="T509" s="2174"/>
      <c r="U509" s="2174"/>
      <c r="V509" s="2174"/>
      <c r="W509" s="2174"/>
      <c r="X509" s="2174"/>
      <c r="Y509" s="2174"/>
      <c r="Z509" s="2174"/>
      <c r="AA509" s="2174"/>
      <c r="AB509" s="2174"/>
      <c r="AC509" s="2174"/>
    </row>
    <row r="510" spans="1:29">
      <c r="A510" s="2174"/>
      <c r="B510" s="2174"/>
      <c r="C510" s="2174"/>
      <c r="D510" s="2174"/>
      <c r="E510" s="2174"/>
      <c r="F510" s="2174"/>
      <c r="G510" s="2174"/>
      <c r="H510" s="2174"/>
      <c r="I510" s="2174"/>
      <c r="J510" s="2174"/>
      <c r="K510" s="2175"/>
      <c r="L510" s="2176"/>
      <c r="M510" s="2174"/>
      <c r="N510" s="2174"/>
      <c r="O510" s="2174"/>
      <c r="P510" s="2215"/>
      <c r="Q510" s="2174"/>
      <c r="R510" s="2174"/>
      <c r="S510" s="2174"/>
      <c r="T510" s="2174"/>
      <c r="U510" s="2174"/>
      <c r="V510" s="2174"/>
      <c r="W510" s="2174"/>
      <c r="X510" s="2174"/>
      <c r="Y510" s="2174"/>
      <c r="Z510" s="2174"/>
      <c r="AA510" s="2174"/>
      <c r="AB510" s="2174"/>
      <c r="AC510" s="2174"/>
    </row>
    <row r="511" spans="1:29">
      <c r="A511" s="2174"/>
      <c r="B511" s="2174"/>
      <c r="C511" s="2174"/>
      <c r="D511" s="2174"/>
      <c r="E511" s="2174"/>
      <c r="F511" s="2174"/>
      <c r="G511" s="2174"/>
      <c r="H511" s="2174"/>
      <c r="I511" s="2174"/>
      <c r="J511" s="2174"/>
      <c r="K511" s="2175"/>
      <c r="L511" s="2176"/>
      <c r="M511" s="2174"/>
      <c r="N511" s="2174"/>
      <c r="O511" s="2174"/>
      <c r="P511" s="2215"/>
      <c r="Q511" s="2174"/>
      <c r="R511" s="2174"/>
      <c r="S511" s="2174"/>
      <c r="T511" s="2174"/>
      <c r="U511" s="2174"/>
      <c r="V511" s="2174"/>
      <c r="W511" s="2174"/>
      <c r="X511" s="2174"/>
      <c r="Y511" s="2174"/>
      <c r="Z511" s="2174"/>
      <c r="AA511" s="2174"/>
      <c r="AB511" s="2174"/>
      <c r="AC511" s="2174"/>
    </row>
    <row r="512" spans="1:29">
      <c r="A512" s="2174"/>
      <c r="B512" s="2174"/>
      <c r="C512" s="2174"/>
      <c r="D512" s="2174"/>
      <c r="E512" s="2174"/>
      <c r="F512" s="2174"/>
      <c r="G512" s="2174"/>
      <c r="H512" s="2174"/>
      <c r="I512" s="2174"/>
      <c r="J512" s="2174"/>
      <c r="K512" s="2175"/>
      <c r="L512" s="2176"/>
      <c r="M512" s="2174"/>
      <c r="N512" s="2174"/>
      <c r="O512" s="2174"/>
      <c r="P512" s="2215"/>
      <c r="Q512" s="2174"/>
      <c r="R512" s="2174"/>
      <c r="S512" s="2174"/>
      <c r="T512" s="2174"/>
      <c r="U512" s="2174"/>
      <c r="V512" s="2174"/>
      <c r="W512" s="2174"/>
      <c r="X512" s="2174"/>
      <c r="Y512" s="2174"/>
      <c r="Z512" s="2174"/>
      <c r="AA512" s="2174"/>
      <c r="AB512" s="2174"/>
      <c r="AC512" s="2174"/>
    </row>
    <row r="513" spans="1:29">
      <c r="A513" s="2174"/>
      <c r="B513" s="2174"/>
      <c r="C513" s="2174"/>
      <c r="D513" s="2174"/>
      <c r="E513" s="2174"/>
      <c r="F513" s="2174"/>
      <c r="G513" s="2174"/>
      <c r="H513" s="2174"/>
      <c r="I513" s="2174"/>
      <c r="J513" s="2174"/>
      <c r="K513" s="2175"/>
      <c r="L513" s="2176"/>
      <c r="M513" s="2174"/>
      <c r="N513" s="2174"/>
      <c r="O513" s="2174"/>
      <c r="P513" s="2215"/>
      <c r="Q513" s="2174"/>
      <c r="R513" s="2174"/>
      <c r="S513" s="2174"/>
      <c r="T513" s="2174"/>
      <c r="U513" s="2174"/>
      <c r="V513" s="2174"/>
      <c r="W513" s="2174"/>
      <c r="X513" s="2174"/>
      <c r="Y513" s="2174"/>
      <c r="Z513" s="2174"/>
      <c r="AA513" s="2174"/>
      <c r="AB513" s="2174"/>
      <c r="AC513" s="2174"/>
    </row>
    <row r="514" spans="1:29">
      <c r="A514" s="2174"/>
      <c r="B514" s="2174"/>
      <c r="C514" s="2174"/>
      <c r="D514" s="2174"/>
      <c r="E514" s="2174"/>
      <c r="F514" s="2174"/>
      <c r="G514" s="2174"/>
      <c r="H514" s="2174"/>
      <c r="I514" s="2174"/>
      <c r="J514" s="2174"/>
      <c r="K514" s="2175"/>
      <c r="L514" s="2176"/>
      <c r="M514" s="2174"/>
      <c r="N514" s="2174"/>
      <c r="O514" s="2174"/>
      <c r="P514" s="2215"/>
      <c r="Q514" s="2174"/>
      <c r="R514" s="2174"/>
      <c r="S514" s="2174"/>
      <c r="T514" s="2174"/>
      <c r="U514" s="2174"/>
      <c r="V514" s="2174"/>
      <c r="W514" s="2174"/>
      <c r="X514" s="2174"/>
      <c r="Y514" s="2174"/>
      <c r="Z514" s="2174"/>
      <c r="AA514" s="2174"/>
      <c r="AB514" s="2174"/>
      <c r="AC514" s="2174"/>
    </row>
    <row r="515" spans="1:29">
      <c r="A515" s="2174"/>
      <c r="B515" s="2174"/>
      <c r="C515" s="2174"/>
      <c r="D515" s="2174"/>
      <c r="E515" s="2174"/>
      <c r="F515" s="2174"/>
      <c r="G515" s="2174"/>
      <c r="H515" s="2174"/>
      <c r="I515" s="2174"/>
      <c r="J515" s="2174"/>
      <c r="K515" s="2175"/>
      <c r="L515" s="2176"/>
      <c r="M515" s="2174"/>
      <c r="N515" s="2174"/>
      <c r="O515" s="2174"/>
      <c r="P515" s="2215"/>
      <c r="Q515" s="2174"/>
      <c r="R515" s="2174"/>
      <c r="S515" s="2174"/>
      <c r="T515" s="2174"/>
      <c r="U515" s="2174"/>
      <c r="V515" s="2174"/>
      <c r="W515" s="2174"/>
      <c r="X515" s="2174"/>
      <c r="Y515" s="2174"/>
      <c r="Z515" s="2174"/>
      <c r="AA515" s="2174"/>
      <c r="AB515" s="2174"/>
      <c r="AC515" s="2174"/>
    </row>
    <row r="516" spans="1:29">
      <c r="A516" s="2174"/>
      <c r="B516" s="2174"/>
      <c r="C516" s="2174"/>
      <c r="D516" s="2174"/>
      <c r="E516" s="2174"/>
      <c r="F516" s="2174"/>
      <c r="G516" s="2174"/>
      <c r="H516" s="2174"/>
      <c r="I516" s="2174"/>
      <c r="J516" s="2174"/>
      <c r="K516" s="2175"/>
      <c r="L516" s="2176"/>
      <c r="M516" s="2174"/>
      <c r="N516" s="2174"/>
      <c r="O516" s="2174"/>
      <c r="P516" s="2215"/>
      <c r="Q516" s="2174"/>
      <c r="R516" s="2174"/>
      <c r="S516" s="2174"/>
      <c r="T516" s="2174"/>
      <c r="U516" s="2174"/>
      <c r="V516" s="2174"/>
      <c r="W516" s="2174"/>
      <c r="X516" s="2174"/>
      <c r="Y516" s="2174"/>
      <c r="Z516" s="2174"/>
      <c r="AA516" s="2174"/>
      <c r="AB516" s="2174"/>
      <c r="AC516" s="2174"/>
    </row>
    <row r="517" spans="1:29">
      <c r="A517" s="2174"/>
      <c r="B517" s="2174"/>
      <c r="C517" s="2174"/>
      <c r="D517" s="2174"/>
      <c r="E517" s="2174"/>
      <c r="F517" s="2174"/>
      <c r="G517" s="2174"/>
      <c r="H517" s="2174"/>
      <c r="I517" s="2174"/>
      <c r="J517" s="2174"/>
      <c r="K517" s="2175"/>
      <c r="L517" s="2176"/>
      <c r="M517" s="2174"/>
      <c r="N517" s="2174"/>
      <c r="O517" s="2174"/>
      <c r="P517" s="2215"/>
      <c r="Q517" s="2174"/>
      <c r="R517" s="2174"/>
      <c r="S517" s="2174"/>
      <c r="T517" s="2174"/>
      <c r="U517" s="2174"/>
      <c r="V517" s="2174"/>
      <c r="W517" s="2174"/>
      <c r="X517" s="2174"/>
      <c r="Y517" s="2174"/>
      <c r="Z517" s="2174"/>
      <c r="AA517" s="2174"/>
      <c r="AB517" s="2174"/>
      <c r="AC517" s="2174"/>
    </row>
    <row r="518" spans="1:29">
      <c r="A518" s="2174"/>
      <c r="B518" s="2174"/>
      <c r="C518" s="2174"/>
      <c r="D518" s="2174"/>
      <c r="E518" s="2174"/>
      <c r="F518" s="2174"/>
      <c r="G518" s="2174"/>
      <c r="H518" s="2174"/>
      <c r="I518" s="2174"/>
      <c r="J518" s="2174"/>
      <c r="K518" s="2175"/>
      <c r="L518" s="2176"/>
      <c r="M518" s="2174"/>
      <c r="N518" s="2174"/>
      <c r="O518" s="2174"/>
      <c r="P518" s="2215"/>
      <c r="Q518" s="2174"/>
      <c r="R518" s="2174"/>
      <c r="S518" s="2174"/>
      <c r="T518" s="2174"/>
      <c r="U518" s="2174"/>
      <c r="V518" s="2174"/>
      <c r="W518" s="2174"/>
      <c r="X518" s="2174"/>
      <c r="Y518" s="2174"/>
      <c r="Z518" s="2174"/>
      <c r="AA518" s="2174"/>
      <c r="AB518" s="2174"/>
      <c r="AC518" s="2174"/>
    </row>
    <row r="519" spans="1:29">
      <c r="A519" s="2174"/>
      <c r="B519" s="2174"/>
      <c r="C519" s="2174"/>
      <c r="D519" s="2174"/>
      <c r="E519" s="2174"/>
      <c r="F519" s="2174"/>
      <c r="G519" s="2174"/>
      <c r="H519" s="2174"/>
      <c r="I519" s="2174"/>
      <c r="J519" s="2174"/>
      <c r="K519" s="2175"/>
      <c r="L519" s="2176"/>
      <c r="M519" s="2174"/>
      <c r="N519" s="2174"/>
      <c r="O519" s="2174"/>
      <c r="P519" s="2215"/>
      <c r="Q519" s="2174"/>
      <c r="R519" s="2174"/>
      <c r="S519" s="2174"/>
      <c r="T519" s="2174"/>
      <c r="U519" s="2174"/>
      <c r="V519" s="2174"/>
      <c r="W519" s="2174"/>
      <c r="X519" s="2174"/>
      <c r="Y519" s="2174"/>
      <c r="Z519" s="2174"/>
      <c r="AA519" s="2174"/>
      <c r="AB519" s="2174"/>
      <c r="AC519" s="2174"/>
    </row>
    <row r="520" spans="1:29">
      <c r="A520" s="2174"/>
      <c r="B520" s="2174"/>
      <c r="C520" s="2174"/>
      <c r="D520" s="2174"/>
      <c r="E520" s="2174"/>
      <c r="F520" s="2174"/>
      <c r="G520" s="2174"/>
      <c r="H520" s="2174"/>
      <c r="I520" s="2174"/>
      <c r="J520" s="2174"/>
      <c r="K520" s="2175"/>
      <c r="L520" s="2176"/>
      <c r="M520" s="2174"/>
      <c r="N520" s="2174"/>
      <c r="O520" s="2174"/>
      <c r="P520" s="2215"/>
      <c r="Q520" s="2174"/>
      <c r="R520" s="2174"/>
      <c r="S520" s="2174"/>
      <c r="T520" s="2174"/>
      <c r="U520" s="2174"/>
      <c r="V520" s="2174"/>
      <c r="W520" s="2174"/>
      <c r="X520" s="2174"/>
      <c r="Y520" s="2174"/>
      <c r="Z520" s="2174"/>
      <c r="AA520" s="2174"/>
      <c r="AB520" s="2174"/>
      <c r="AC520" s="2174"/>
    </row>
    <row r="521" spans="1:29">
      <c r="A521" s="2174"/>
      <c r="B521" s="2174"/>
      <c r="C521" s="2174"/>
      <c r="D521" s="2174"/>
      <c r="E521" s="2174"/>
      <c r="F521" s="2174"/>
      <c r="G521" s="2174"/>
      <c r="H521" s="2174"/>
      <c r="I521" s="2174"/>
      <c r="J521" s="2174"/>
      <c r="K521" s="2175"/>
      <c r="L521" s="2176"/>
      <c r="M521" s="2174"/>
      <c r="N521" s="2174"/>
      <c r="O521" s="2174"/>
      <c r="P521" s="2215"/>
      <c r="Q521" s="2174"/>
      <c r="R521" s="2174"/>
      <c r="S521" s="2174"/>
      <c r="T521" s="2174"/>
      <c r="U521" s="2174"/>
      <c r="V521" s="2174"/>
      <c r="W521" s="2174"/>
      <c r="X521" s="2174"/>
      <c r="Y521" s="2174"/>
      <c r="Z521" s="2174"/>
      <c r="AA521" s="2174"/>
      <c r="AB521" s="2174"/>
      <c r="AC521" s="2174"/>
    </row>
    <row r="522" spans="1:29">
      <c r="A522" s="2174"/>
      <c r="B522" s="2174"/>
      <c r="C522" s="2174"/>
      <c r="D522" s="2174"/>
      <c r="E522" s="2174"/>
      <c r="F522" s="2174"/>
      <c r="G522" s="2174"/>
      <c r="H522" s="2174"/>
      <c r="I522" s="2174"/>
      <c r="J522" s="2174"/>
      <c r="K522" s="2175"/>
      <c r="L522" s="2176"/>
      <c r="M522" s="2174"/>
      <c r="N522" s="2174"/>
      <c r="O522" s="2174"/>
      <c r="P522" s="2215"/>
      <c r="Q522" s="2174"/>
      <c r="R522" s="2174"/>
      <c r="S522" s="2174"/>
      <c r="T522" s="2174"/>
      <c r="U522" s="2174"/>
      <c r="V522" s="2174"/>
      <c r="W522" s="2174"/>
      <c r="X522" s="2174"/>
      <c r="Y522" s="2174"/>
      <c r="Z522" s="2174"/>
      <c r="AA522" s="2174"/>
      <c r="AB522" s="2174"/>
      <c r="AC522" s="2174"/>
    </row>
    <row r="523" spans="1:29">
      <c r="A523" s="2174"/>
      <c r="B523" s="2174"/>
      <c r="C523" s="2174"/>
      <c r="D523" s="2174"/>
      <c r="E523" s="2174"/>
      <c r="F523" s="2174"/>
      <c r="G523" s="2174"/>
      <c r="H523" s="2174"/>
      <c r="I523" s="2174"/>
      <c r="J523" s="2174"/>
      <c r="K523" s="2175"/>
      <c r="L523" s="2176"/>
      <c r="M523" s="2174"/>
      <c r="N523" s="2174"/>
      <c r="O523" s="2174"/>
      <c r="P523" s="2215"/>
      <c r="Q523" s="2174"/>
      <c r="R523" s="2174"/>
      <c r="S523" s="2174"/>
      <c r="T523" s="2174"/>
      <c r="U523" s="2174"/>
      <c r="V523" s="2174"/>
      <c r="W523" s="2174"/>
      <c r="X523" s="2174"/>
      <c r="Y523" s="2174"/>
      <c r="Z523" s="2174"/>
      <c r="AA523" s="2174"/>
      <c r="AB523" s="2174"/>
      <c r="AC523" s="2174"/>
    </row>
    <row r="524" spans="1:29">
      <c r="A524" s="2174"/>
      <c r="B524" s="2174"/>
      <c r="C524" s="2174"/>
      <c r="D524" s="2174"/>
      <c r="E524" s="2174"/>
      <c r="F524" s="2174"/>
      <c r="G524" s="2174"/>
      <c r="H524" s="2174"/>
      <c r="I524" s="2174"/>
      <c r="J524" s="2174"/>
      <c r="K524" s="2175"/>
      <c r="L524" s="2176"/>
      <c r="M524" s="2174"/>
      <c r="N524" s="2174"/>
      <c r="O524" s="2174"/>
      <c r="P524" s="2215"/>
      <c r="Q524" s="2174"/>
      <c r="R524" s="2174"/>
      <c r="S524" s="2174"/>
      <c r="T524" s="2174"/>
      <c r="U524" s="2174"/>
      <c r="V524" s="2174"/>
      <c r="W524" s="2174"/>
      <c r="X524" s="2174"/>
      <c r="Y524" s="2174"/>
      <c r="Z524" s="2174"/>
      <c r="AA524" s="2174"/>
      <c r="AB524" s="2174"/>
      <c r="AC524" s="2174"/>
    </row>
    <row r="525" spans="1:29">
      <c r="A525" s="2174"/>
      <c r="B525" s="2174"/>
      <c r="C525" s="2174"/>
      <c r="D525" s="2174"/>
      <c r="E525" s="2174"/>
      <c r="F525" s="2174"/>
      <c r="G525" s="2174"/>
      <c r="H525" s="2174"/>
      <c r="I525" s="2174"/>
      <c r="J525" s="2174"/>
      <c r="K525" s="2175"/>
      <c r="L525" s="2176"/>
      <c r="M525" s="2174"/>
      <c r="N525" s="2174"/>
      <c r="O525" s="2174"/>
      <c r="P525" s="2215"/>
      <c r="Q525" s="2174"/>
      <c r="R525" s="2174"/>
      <c r="S525" s="2174"/>
      <c r="T525" s="2174"/>
      <c r="U525" s="2174"/>
      <c r="V525" s="2174"/>
      <c r="W525" s="2174"/>
      <c r="X525" s="2174"/>
      <c r="Y525" s="2174"/>
      <c r="Z525" s="2174"/>
      <c r="AA525" s="2174"/>
      <c r="AB525" s="2174"/>
      <c r="AC525" s="2174"/>
    </row>
    <row r="526" spans="1:29">
      <c r="A526" s="2174"/>
      <c r="B526" s="2174"/>
      <c r="C526" s="2174"/>
      <c r="D526" s="2174"/>
      <c r="E526" s="2174"/>
      <c r="F526" s="2174"/>
      <c r="G526" s="2174"/>
      <c r="H526" s="2174"/>
      <c r="I526" s="2174"/>
      <c r="J526" s="2174"/>
      <c r="K526" s="2175"/>
      <c r="L526" s="2176"/>
      <c r="M526" s="2174"/>
      <c r="N526" s="2174"/>
      <c r="O526" s="2174"/>
      <c r="P526" s="2215"/>
      <c r="Q526" s="2174"/>
      <c r="R526" s="2174"/>
      <c r="S526" s="2174"/>
      <c r="T526" s="2174"/>
      <c r="U526" s="2174"/>
      <c r="V526" s="2174"/>
      <c r="W526" s="2174"/>
      <c r="X526" s="2174"/>
      <c r="Y526" s="2174"/>
      <c r="Z526" s="2174"/>
      <c r="AA526" s="2174"/>
      <c r="AB526" s="2174"/>
      <c r="AC526" s="2174"/>
    </row>
    <row r="527" spans="1:29">
      <c r="A527" s="2174"/>
      <c r="B527" s="2174"/>
      <c r="C527" s="2174"/>
      <c r="D527" s="2174"/>
      <c r="E527" s="2174"/>
      <c r="F527" s="2174"/>
      <c r="G527" s="2174"/>
      <c r="H527" s="2174"/>
      <c r="I527" s="2174"/>
      <c r="J527" s="2174"/>
      <c r="K527" s="2175"/>
      <c r="L527" s="2176"/>
      <c r="M527" s="2174"/>
      <c r="N527" s="2174"/>
      <c r="O527" s="2174"/>
      <c r="P527" s="2215"/>
      <c r="Q527" s="2174"/>
      <c r="R527" s="2174"/>
      <c r="S527" s="2174"/>
      <c r="T527" s="2174"/>
      <c r="U527" s="2174"/>
      <c r="V527" s="2174"/>
      <c r="W527" s="2174"/>
      <c r="X527" s="2174"/>
      <c r="Y527" s="2174"/>
      <c r="Z527" s="2174"/>
      <c r="AA527" s="2174"/>
      <c r="AB527" s="2174"/>
      <c r="AC527" s="2174"/>
    </row>
    <row r="528" spans="1:29">
      <c r="A528" s="2174"/>
      <c r="B528" s="2174"/>
      <c r="C528" s="2174"/>
      <c r="D528" s="2174"/>
      <c r="E528" s="2174"/>
      <c r="F528" s="2174"/>
      <c r="G528" s="2174"/>
      <c r="H528" s="2174"/>
      <c r="I528" s="2174"/>
      <c r="J528" s="2174"/>
      <c r="K528" s="2175"/>
      <c r="L528" s="2176"/>
      <c r="M528" s="2174"/>
      <c r="N528" s="2174"/>
      <c r="O528" s="2174"/>
      <c r="P528" s="2215"/>
      <c r="Q528" s="2174"/>
      <c r="R528" s="2174"/>
      <c r="S528" s="2174"/>
      <c r="T528" s="2174"/>
      <c r="U528" s="2174"/>
      <c r="V528" s="2174"/>
      <c r="W528" s="2174"/>
      <c r="X528" s="2174"/>
      <c r="Y528" s="2174"/>
      <c r="Z528" s="2174"/>
      <c r="AA528" s="2174"/>
      <c r="AB528" s="2174"/>
      <c r="AC528" s="2174"/>
    </row>
    <row r="529" spans="1:29">
      <c r="A529" s="2174"/>
      <c r="B529" s="2174"/>
      <c r="C529" s="2174"/>
      <c r="D529" s="2174"/>
      <c r="E529" s="2174"/>
      <c r="F529" s="2174"/>
      <c r="G529" s="2174"/>
      <c r="H529" s="2174"/>
      <c r="I529" s="2174"/>
      <c r="J529" s="2174"/>
      <c r="K529" s="2175"/>
      <c r="L529" s="2176"/>
      <c r="M529" s="2174"/>
      <c r="N529" s="2174"/>
      <c r="O529" s="2174"/>
      <c r="P529" s="2215"/>
      <c r="Q529" s="2174"/>
      <c r="R529" s="2174"/>
      <c r="S529" s="2174"/>
      <c r="T529" s="2174"/>
      <c r="U529" s="2174"/>
      <c r="V529" s="2174"/>
      <c r="W529" s="2174"/>
      <c r="X529" s="2174"/>
      <c r="Y529" s="2174"/>
      <c r="Z529" s="2174"/>
      <c r="AA529" s="2174"/>
      <c r="AB529" s="2174"/>
      <c r="AC529" s="2174"/>
    </row>
    <row r="530" spans="1:29">
      <c r="A530" s="2174"/>
      <c r="B530" s="2174"/>
      <c r="C530" s="2174"/>
      <c r="D530" s="2174"/>
      <c r="E530" s="2174"/>
      <c r="F530" s="2174"/>
      <c r="G530" s="2174"/>
      <c r="H530" s="2174"/>
      <c r="I530" s="2174"/>
      <c r="J530" s="2174"/>
      <c r="K530" s="2175"/>
      <c r="L530" s="2176"/>
      <c r="M530" s="2174"/>
      <c r="N530" s="2174"/>
      <c r="O530" s="2174"/>
      <c r="P530" s="2215"/>
      <c r="Q530" s="2174"/>
      <c r="R530" s="2174"/>
      <c r="S530" s="2174"/>
      <c r="T530" s="2174"/>
      <c r="U530" s="2174"/>
      <c r="V530" s="2174"/>
      <c r="W530" s="2174"/>
      <c r="X530" s="2174"/>
      <c r="Y530" s="2174"/>
      <c r="Z530" s="2174"/>
      <c r="AA530" s="2174"/>
      <c r="AB530" s="2174"/>
      <c r="AC530" s="2174"/>
    </row>
    <row r="531" spans="1:29">
      <c r="A531" s="2174"/>
      <c r="B531" s="2174"/>
      <c r="C531" s="2174"/>
      <c r="D531" s="2174"/>
      <c r="E531" s="2174"/>
      <c r="F531" s="2174"/>
      <c r="G531" s="2174"/>
      <c r="H531" s="2174"/>
      <c r="I531" s="2174"/>
      <c r="J531" s="2174"/>
      <c r="K531" s="2175"/>
      <c r="L531" s="2176"/>
      <c r="M531" s="2174"/>
      <c r="N531" s="2174"/>
      <c r="O531" s="2174"/>
      <c r="P531" s="2215"/>
      <c r="Q531" s="2174"/>
      <c r="R531" s="2174"/>
      <c r="S531" s="2174"/>
      <c r="T531" s="2174"/>
      <c r="U531" s="2174"/>
      <c r="V531" s="2174"/>
      <c r="W531" s="2174"/>
      <c r="X531" s="2174"/>
      <c r="Y531" s="2174"/>
      <c r="Z531" s="2174"/>
      <c r="AA531" s="2174"/>
      <c r="AB531" s="2174"/>
      <c r="AC531" s="2174"/>
    </row>
    <row r="532" spans="1:29">
      <c r="A532" s="2174"/>
      <c r="B532" s="2174"/>
      <c r="C532" s="2174"/>
      <c r="D532" s="2174"/>
      <c r="E532" s="2174"/>
      <c r="F532" s="2174"/>
      <c r="G532" s="2174"/>
      <c r="H532" s="2174"/>
      <c r="I532" s="2174"/>
      <c r="J532" s="2174"/>
      <c r="K532" s="2175"/>
      <c r="L532" s="2176"/>
      <c r="M532" s="2174"/>
      <c r="N532" s="2174"/>
      <c r="O532" s="2174"/>
      <c r="P532" s="2215"/>
      <c r="Q532" s="2174"/>
      <c r="R532" s="2174"/>
      <c r="S532" s="2174"/>
      <c r="T532" s="2174"/>
      <c r="U532" s="2174"/>
      <c r="V532" s="2174"/>
      <c r="W532" s="2174"/>
      <c r="X532" s="2174"/>
      <c r="Y532" s="2174"/>
      <c r="Z532" s="2174"/>
      <c r="AA532" s="2174"/>
      <c r="AB532" s="2174"/>
      <c r="AC532" s="2174"/>
    </row>
    <row r="533" spans="1:29">
      <c r="A533" s="2174"/>
      <c r="B533" s="2174"/>
      <c r="C533" s="2174"/>
      <c r="D533" s="2174"/>
      <c r="E533" s="2174"/>
      <c r="F533" s="2174"/>
      <c r="G533" s="2174"/>
      <c r="H533" s="2174"/>
      <c r="I533" s="2174"/>
      <c r="J533" s="2174"/>
      <c r="K533" s="2175"/>
      <c r="L533" s="2176"/>
      <c r="M533" s="2174"/>
      <c r="N533" s="2174"/>
      <c r="O533" s="2174"/>
      <c r="P533" s="2215"/>
      <c r="Q533" s="2174"/>
      <c r="R533" s="2174"/>
      <c r="S533" s="2174"/>
      <c r="T533" s="2174"/>
      <c r="U533" s="2174"/>
      <c r="V533" s="2174"/>
      <c r="W533" s="2174"/>
      <c r="X533" s="2174"/>
      <c r="Y533" s="2174"/>
      <c r="Z533" s="2174"/>
      <c r="AA533" s="2174"/>
      <c r="AB533" s="2174"/>
      <c r="AC533" s="2174"/>
    </row>
    <row r="534" spans="1:29">
      <c r="A534" s="2174"/>
      <c r="B534" s="2174"/>
      <c r="C534" s="2174"/>
      <c r="D534" s="2174"/>
      <c r="E534" s="2174"/>
      <c r="F534" s="2174"/>
      <c r="G534" s="2174"/>
      <c r="H534" s="2174"/>
      <c r="I534" s="2174"/>
      <c r="J534" s="2174"/>
      <c r="K534" s="2175"/>
      <c r="L534" s="2176"/>
      <c r="M534" s="2174"/>
      <c r="N534" s="2174"/>
      <c r="O534" s="2174"/>
      <c r="P534" s="2215"/>
      <c r="Q534" s="2174"/>
      <c r="R534" s="2174"/>
      <c r="S534" s="2174"/>
      <c r="T534" s="2174"/>
      <c r="U534" s="2174"/>
      <c r="V534" s="2174"/>
      <c r="W534" s="2174"/>
      <c r="X534" s="2174"/>
      <c r="Y534" s="2174"/>
      <c r="Z534" s="2174"/>
      <c r="AA534" s="2174"/>
      <c r="AB534" s="2174"/>
      <c r="AC534" s="2174"/>
    </row>
    <row r="535" spans="1:29">
      <c r="A535" s="2174"/>
      <c r="B535" s="2174"/>
      <c r="C535" s="2174"/>
      <c r="D535" s="2174"/>
      <c r="E535" s="2174"/>
      <c r="F535" s="2174"/>
      <c r="G535" s="2174"/>
      <c r="H535" s="2174"/>
      <c r="I535" s="2174"/>
      <c r="J535" s="2174"/>
      <c r="K535" s="2175"/>
      <c r="L535" s="2176"/>
      <c r="M535" s="2174"/>
      <c r="N535" s="2174"/>
      <c r="O535" s="2174"/>
      <c r="P535" s="2215"/>
      <c r="Q535" s="2174"/>
      <c r="R535" s="2174"/>
      <c r="S535" s="2174"/>
      <c r="T535" s="2174"/>
      <c r="U535" s="2174"/>
      <c r="V535" s="2174"/>
      <c r="W535" s="2174"/>
      <c r="X535" s="2174"/>
      <c r="Y535" s="2174"/>
      <c r="Z535" s="2174"/>
      <c r="AA535" s="2174"/>
      <c r="AB535" s="2174"/>
      <c r="AC535" s="2174"/>
    </row>
    <row r="536" spans="1:29">
      <c r="A536" s="2174"/>
      <c r="B536" s="2174"/>
      <c r="C536" s="2174"/>
      <c r="D536" s="2174"/>
      <c r="E536" s="2174"/>
      <c r="F536" s="2174"/>
      <c r="G536" s="2174"/>
      <c r="H536" s="2174"/>
      <c r="I536" s="2174"/>
      <c r="J536" s="2174"/>
      <c r="K536" s="2175"/>
      <c r="L536" s="2176"/>
      <c r="M536" s="2174"/>
      <c r="N536" s="2174"/>
      <c r="O536" s="2174"/>
      <c r="P536" s="2215"/>
      <c r="Q536" s="2174"/>
      <c r="R536" s="2174"/>
      <c r="S536" s="2174"/>
      <c r="T536" s="2174"/>
      <c r="U536" s="2174"/>
      <c r="V536" s="2174"/>
      <c r="W536" s="2174"/>
      <c r="X536" s="2174"/>
      <c r="Y536" s="2174"/>
      <c r="Z536" s="2174"/>
      <c r="AA536" s="2174"/>
      <c r="AB536" s="2174"/>
      <c r="AC536" s="2174"/>
    </row>
    <row r="537" spans="1:29">
      <c r="A537" s="2174"/>
      <c r="B537" s="2174"/>
      <c r="C537" s="2174"/>
      <c r="D537" s="2174"/>
      <c r="E537" s="2174"/>
      <c r="F537" s="2174"/>
      <c r="G537" s="2174"/>
      <c r="H537" s="2174"/>
      <c r="I537" s="2174"/>
      <c r="J537" s="2174"/>
      <c r="K537" s="2175"/>
      <c r="L537" s="2176"/>
      <c r="M537" s="2174"/>
      <c r="N537" s="2174"/>
      <c r="O537" s="2174"/>
      <c r="P537" s="2215"/>
      <c r="Q537" s="2174"/>
      <c r="R537" s="2174"/>
      <c r="S537" s="2174"/>
      <c r="T537" s="2174"/>
      <c r="U537" s="2174"/>
      <c r="V537" s="2174"/>
      <c r="W537" s="2174"/>
      <c r="X537" s="2174"/>
      <c r="Y537" s="2174"/>
      <c r="Z537" s="2174"/>
      <c r="AA537" s="2174"/>
      <c r="AB537" s="2174"/>
      <c r="AC537" s="2174"/>
    </row>
    <row r="538" spans="1:29">
      <c r="A538" s="2174"/>
      <c r="B538" s="2174"/>
      <c r="C538" s="2174"/>
      <c r="D538" s="2174"/>
      <c r="E538" s="2174"/>
      <c r="F538" s="2174"/>
      <c r="G538" s="2174"/>
      <c r="H538" s="2174"/>
      <c r="I538" s="2174"/>
      <c r="J538" s="2174"/>
      <c r="K538" s="2175"/>
      <c r="L538" s="2176"/>
      <c r="M538" s="2174"/>
      <c r="N538" s="2174"/>
      <c r="O538" s="2174"/>
      <c r="P538" s="2215"/>
      <c r="Q538" s="2174"/>
      <c r="R538" s="2174"/>
      <c r="S538" s="2174"/>
      <c r="T538" s="2174"/>
      <c r="U538" s="2174"/>
      <c r="V538" s="2174"/>
      <c r="W538" s="2174"/>
      <c r="X538" s="2174"/>
      <c r="Y538" s="2174"/>
      <c r="Z538" s="2174"/>
      <c r="AA538" s="2174"/>
      <c r="AB538" s="2174"/>
      <c r="AC538" s="2174"/>
    </row>
    <row r="539" spans="1:29">
      <c r="A539" s="2174"/>
      <c r="B539" s="2174"/>
      <c r="C539" s="2174"/>
      <c r="D539" s="2174"/>
      <c r="E539" s="2174"/>
      <c r="F539" s="2174"/>
      <c r="G539" s="2174"/>
      <c r="H539" s="2174"/>
      <c r="I539" s="2174"/>
      <c r="J539" s="2174"/>
      <c r="K539" s="2175"/>
      <c r="L539" s="2176"/>
      <c r="M539" s="2174"/>
      <c r="N539" s="2174"/>
      <c r="O539" s="2174"/>
      <c r="P539" s="2215"/>
      <c r="Q539" s="2174"/>
      <c r="R539" s="2174"/>
      <c r="S539" s="2174"/>
      <c r="T539" s="2174"/>
      <c r="U539" s="2174"/>
      <c r="V539" s="2174"/>
      <c r="W539" s="2174"/>
      <c r="X539" s="2174"/>
      <c r="Y539" s="2174"/>
      <c r="Z539" s="2174"/>
      <c r="AA539" s="2174"/>
      <c r="AB539" s="2174"/>
      <c r="AC539" s="2174"/>
    </row>
    <row r="540" spans="1:29">
      <c r="A540" s="2174"/>
      <c r="B540" s="2174"/>
      <c r="C540" s="2174"/>
      <c r="D540" s="2174"/>
      <c r="E540" s="2174"/>
      <c r="F540" s="2174"/>
      <c r="G540" s="2174"/>
      <c r="H540" s="2174"/>
      <c r="I540" s="2174"/>
      <c r="J540" s="2174"/>
      <c r="K540" s="2175"/>
      <c r="L540" s="2176"/>
      <c r="M540" s="2174"/>
      <c r="N540" s="2174"/>
      <c r="O540" s="2174"/>
      <c r="P540" s="2215"/>
      <c r="Q540" s="2174"/>
      <c r="R540" s="2174"/>
      <c r="S540" s="2174"/>
      <c r="T540" s="2174"/>
      <c r="U540" s="2174"/>
      <c r="V540" s="2174"/>
      <c r="W540" s="2174"/>
      <c r="X540" s="2174"/>
      <c r="Y540" s="2174"/>
      <c r="Z540" s="2174"/>
      <c r="AA540" s="2174"/>
      <c r="AB540" s="2174"/>
      <c r="AC540" s="2174"/>
    </row>
    <row r="541" spans="1:29">
      <c r="A541" s="2174"/>
      <c r="B541" s="2174"/>
      <c r="C541" s="2174"/>
      <c r="D541" s="2174"/>
      <c r="E541" s="2174"/>
      <c r="F541" s="2174"/>
      <c r="G541" s="2174"/>
      <c r="H541" s="2174"/>
      <c r="I541" s="2174"/>
      <c r="J541" s="2174"/>
      <c r="K541" s="2175"/>
      <c r="L541" s="2176"/>
      <c r="M541" s="2174"/>
      <c r="N541" s="2174"/>
      <c r="O541" s="2174"/>
      <c r="P541" s="2215"/>
      <c r="Q541" s="2174"/>
      <c r="R541" s="2174"/>
      <c r="S541" s="2174"/>
      <c r="T541" s="2174"/>
      <c r="U541" s="2174"/>
      <c r="V541" s="2174"/>
      <c r="W541" s="2174"/>
      <c r="X541" s="2174"/>
      <c r="Y541" s="2174"/>
      <c r="Z541" s="2174"/>
      <c r="AA541" s="2174"/>
      <c r="AB541" s="2174"/>
      <c r="AC541" s="2174"/>
    </row>
    <row r="542" spans="1:29">
      <c r="A542" s="2174"/>
      <c r="B542" s="2174"/>
      <c r="C542" s="2174"/>
      <c r="D542" s="2174"/>
      <c r="E542" s="2174"/>
      <c r="F542" s="2174"/>
      <c r="G542" s="2174"/>
      <c r="H542" s="2174"/>
      <c r="I542" s="2174"/>
      <c r="J542" s="2174"/>
      <c r="K542" s="2175"/>
      <c r="L542" s="2176"/>
      <c r="M542" s="2174"/>
      <c r="N542" s="2174"/>
      <c r="O542" s="2174"/>
      <c r="P542" s="2215"/>
      <c r="Q542" s="2174"/>
      <c r="R542" s="2174"/>
      <c r="S542" s="2174"/>
      <c r="T542" s="2174"/>
      <c r="U542" s="2174"/>
      <c r="V542" s="2174"/>
      <c r="W542" s="2174"/>
      <c r="X542" s="2174"/>
      <c r="Y542" s="2174"/>
      <c r="Z542" s="2174"/>
      <c r="AA542" s="2174"/>
      <c r="AB542" s="2174"/>
      <c r="AC542" s="2174"/>
    </row>
    <row r="543" spans="1:29">
      <c r="A543" s="2174"/>
      <c r="B543" s="2174"/>
      <c r="C543" s="2174"/>
      <c r="D543" s="2174"/>
      <c r="E543" s="2174"/>
      <c r="F543" s="2174"/>
      <c r="G543" s="2174"/>
      <c r="H543" s="2174"/>
      <c r="I543" s="2174"/>
      <c r="J543" s="2174"/>
      <c r="K543" s="2175"/>
      <c r="L543" s="2176"/>
      <c r="M543" s="2174"/>
      <c r="N543" s="2174"/>
      <c r="O543" s="2174"/>
      <c r="P543" s="2215"/>
      <c r="Q543" s="2174"/>
      <c r="R543" s="2174"/>
      <c r="S543" s="2174"/>
      <c r="T543" s="2174"/>
      <c r="U543" s="2174"/>
      <c r="V543" s="2174"/>
      <c r="W543" s="2174"/>
      <c r="X543" s="2174"/>
      <c r="Y543" s="2174"/>
      <c r="Z543" s="2174"/>
      <c r="AA543" s="2174"/>
      <c r="AB543" s="2174"/>
      <c r="AC543" s="2174"/>
    </row>
    <row r="544" spans="1:29">
      <c r="A544" s="2174"/>
      <c r="B544" s="2174"/>
      <c r="C544" s="2174"/>
      <c r="D544" s="2174"/>
      <c r="E544" s="2174"/>
      <c r="F544" s="2174"/>
      <c r="G544" s="2174"/>
      <c r="H544" s="2174"/>
      <c r="I544" s="2174"/>
      <c r="J544" s="2174"/>
      <c r="K544" s="2175"/>
      <c r="L544" s="2176"/>
      <c r="M544" s="2174"/>
      <c r="N544" s="2174"/>
      <c r="O544" s="2174"/>
      <c r="P544" s="2215"/>
      <c r="Q544" s="2174"/>
      <c r="R544" s="2174"/>
      <c r="S544" s="2174"/>
      <c r="T544" s="2174"/>
      <c r="U544" s="2174"/>
      <c r="V544" s="2174"/>
      <c r="W544" s="2174"/>
      <c r="X544" s="2174"/>
      <c r="Y544" s="2174"/>
      <c r="Z544" s="2174"/>
      <c r="AA544" s="2174"/>
      <c r="AB544" s="2174"/>
      <c r="AC544" s="2174"/>
    </row>
    <row r="545" spans="1:29">
      <c r="A545" s="2174"/>
      <c r="B545" s="2174"/>
      <c r="C545" s="2174"/>
      <c r="D545" s="2174"/>
      <c r="E545" s="2174"/>
      <c r="F545" s="2174"/>
      <c r="G545" s="2174"/>
      <c r="H545" s="2174"/>
      <c r="I545" s="2174"/>
      <c r="J545" s="2174"/>
      <c r="K545" s="2175"/>
      <c r="L545" s="2176"/>
      <c r="M545" s="2174"/>
      <c r="N545" s="2174"/>
      <c r="O545" s="2174"/>
      <c r="P545" s="2215"/>
      <c r="Q545" s="2174"/>
      <c r="R545" s="2174"/>
      <c r="S545" s="2174"/>
      <c r="T545" s="2174"/>
      <c r="U545" s="2174"/>
      <c r="V545" s="2174"/>
      <c r="W545" s="2174"/>
      <c r="X545" s="2174"/>
      <c r="Y545" s="2174"/>
      <c r="Z545" s="2174"/>
      <c r="AA545" s="2174"/>
      <c r="AB545" s="2174"/>
      <c r="AC545" s="2174"/>
    </row>
    <row r="546" spans="1:29">
      <c r="A546" s="2174"/>
      <c r="B546" s="2174"/>
      <c r="C546" s="2174"/>
      <c r="D546" s="2174"/>
      <c r="E546" s="2174"/>
      <c r="F546" s="2174"/>
      <c r="G546" s="2174"/>
      <c r="H546" s="2174"/>
      <c r="I546" s="2174"/>
      <c r="J546" s="2174"/>
      <c r="K546" s="2175"/>
      <c r="L546" s="2176"/>
      <c r="M546" s="2174"/>
      <c r="N546" s="2174"/>
      <c r="O546" s="2174"/>
      <c r="P546" s="2215"/>
      <c r="Q546" s="2174"/>
      <c r="R546" s="2174"/>
      <c r="S546" s="2174"/>
      <c r="T546" s="2174"/>
      <c r="U546" s="2174"/>
      <c r="V546" s="2174"/>
      <c r="W546" s="2174"/>
      <c r="X546" s="2174"/>
      <c r="Y546" s="2174"/>
      <c r="Z546" s="2174"/>
      <c r="AA546" s="2174"/>
      <c r="AB546" s="2174"/>
      <c r="AC546" s="2174"/>
    </row>
    <row r="547" spans="1:29">
      <c r="A547" s="2174"/>
      <c r="B547" s="2174"/>
      <c r="C547" s="2174"/>
      <c r="D547" s="2174"/>
      <c r="E547" s="2174"/>
      <c r="F547" s="2174"/>
      <c r="G547" s="2174"/>
      <c r="H547" s="2174"/>
      <c r="I547" s="2174"/>
      <c r="J547" s="2174"/>
      <c r="K547" s="2175"/>
      <c r="L547" s="2176"/>
      <c r="M547" s="2174"/>
      <c r="N547" s="2174"/>
      <c r="O547" s="2174"/>
      <c r="P547" s="2215"/>
      <c r="Q547" s="2174"/>
      <c r="R547" s="2174"/>
      <c r="S547" s="2174"/>
      <c r="T547" s="2174"/>
      <c r="U547" s="2174"/>
      <c r="V547" s="2174"/>
      <c r="W547" s="2174"/>
      <c r="X547" s="2174"/>
      <c r="Y547" s="2174"/>
      <c r="Z547" s="2174"/>
      <c r="AA547" s="2174"/>
      <c r="AB547" s="2174"/>
      <c r="AC547" s="2174"/>
    </row>
    <row r="548" spans="1:29">
      <c r="A548" s="2174"/>
      <c r="B548" s="2174"/>
      <c r="C548" s="2174"/>
      <c r="D548" s="2174"/>
      <c r="E548" s="2174"/>
      <c r="F548" s="2174"/>
      <c r="G548" s="2174"/>
      <c r="H548" s="2174"/>
      <c r="I548" s="2174"/>
      <c r="J548" s="2174"/>
      <c r="K548" s="2175"/>
      <c r="L548" s="2176"/>
      <c r="M548" s="2174"/>
      <c r="N548" s="2174"/>
      <c r="O548" s="2174"/>
      <c r="P548" s="2215"/>
      <c r="Q548" s="2174"/>
      <c r="R548" s="2174"/>
      <c r="S548" s="2174"/>
      <c r="T548" s="2174"/>
      <c r="U548" s="2174"/>
      <c r="V548" s="2174"/>
      <c r="W548" s="2174"/>
      <c r="X548" s="2174"/>
      <c r="Y548" s="2174"/>
      <c r="Z548" s="2174"/>
      <c r="AA548" s="2174"/>
      <c r="AB548" s="2174"/>
      <c r="AC548" s="2174"/>
    </row>
    <row r="549" spans="1:29">
      <c r="A549" s="2174"/>
      <c r="B549" s="2174"/>
      <c r="C549" s="2174"/>
      <c r="D549" s="2174"/>
      <c r="E549" s="2174"/>
      <c r="F549" s="2174"/>
      <c r="G549" s="2174"/>
      <c r="H549" s="2174"/>
      <c r="I549" s="2174"/>
      <c r="J549" s="2174"/>
      <c r="K549" s="2175"/>
      <c r="L549" s="2176"/>
      <c r="M549" s="2174"/>
      <c r="N549" s="2174"/>
      <c r="O549" s="2174"/>
      <c r="P549" s="2215"/>
      <c r="Q549" s="2174"/>
      <c r="R549" s="2174"/>
      <c r="S549" s="2174"/>
      <c r="T549" s="2174"/>
      <c r="U549" s="2174"/>
      <c r="V549" s="2174"/>
      <c r="W549" s="2174"/>
      <c r="X549" s="2174"/>
      <c r="Y549" s="2174"/>
      <c r="Z549" s="2174"/>
      <c r="AA549" s="2174"/>
      <c r="AB549" s="2174"/>
      <c r="AC549" s="2174"/>
    </row>
    <row r="550" spans="1:29">
      <c r="A550" s="2174"/>
      <c r="B550" s="2174"/>
      <c r="C550" s="2174"/>
      <c r="D550" s="2174"/>
      <c r="E550" s="2174"/>
      <c r="F550" s="2174"/>
      <c r="G550" s="2174"/>
      <c r="H550" s="2174"/>
      <c r="I550" s="2174"/>
      <c r="J550" s="2174"/>
      <c r="K550" s="2175"/>
      <c r="L550" s="2176"/>
      <c r="M550" s="2174"/>
      <c r="N550" s="2174"/>
      <c r="O550" s="2174"/>
      <c r="P550" s="2215"/>
      <c r="Q550" s="2174"/>
      <c r="R550" s="2174"/>
      <c r="S550" s="2174"/>
      <c r="T550" s="2174"/>
      <c r="U550" s="2174"/>
      <c r="V550" s="2174"/>
      <c r="W550" s="2174"/>
      <c r="X550" s="2174"/>
      <c r="Y550" s="2174"/>
      <c r="Z550" s="2174"/>
      <c r="AA550" s="2174"/>
      <c r="AB550" s="2174"/>
      <c r="AC550" s="2174"/>
    </row>
    <row r="551" spans="1:29">
      <c r="A551" s="2174"/>
      <c r="B551" s="2174"/>
      <c r="C551" s="2174"/>
      <c r="D551" s="2174"/>
      <c r="E551" s="2174"/>
      <c r="F551" s="2174"/>
      <c r="G551" s="2174"/>
      <c r="H551" s="2174"/>
      <c r="I551" s="2174"/>
      <c r="J551" s="2174"/>
      <c r="K551" s="2175"/>
      <c r="L551" s="2176"/>
      <c r="M551" s="2174"/>
      <c r="N551" s="2174"/>
      <c r="O551" s="2174"/>
      <c r="P551" s="2215"/>
      <c r="Q551" s="2174"/>
      <c r="R551" s="2174"/>
      <c r="S551" s="2174"/>
      <c r="T551" s="2174"/>
      <c r="U551" s="2174"/>
      <c r="V551" s="2174"/>
      <c r="W551" s="2174"/>
      <c r="X551" s="2174"/>
      <c r="Y551" s="2174"/>
      <c r="Z551" s="2174"/>
      <c r="AA551" s="2174"/>
      <c r="AB551" s="2174"/>
      <c r="AC551" s="2174"/>
    </row>
    <row r="552" spans="1:29">
      <c r="A552" s="2174"/>
      <c r="B552" s="2174"/>
      <c r="C552" s="2174"/>
      <c r="D552" s="2174"/>
      <c r="E552" s="2174"/>
      <c r="F552" s="2174"/>
      <c r="G552" s="2174"/>
      <c r="H552" s="2174"/>
      <c r="I552" s="2174"/>
      <c r="J552" s="2174"/>
      <c r="K552" s="2175"/>
      <c r="L552" s="2176"/>
      <c r="M552" s="2174"/>
      <c r="N552" s="2174"/>
      <c r="O552" s="2174"/>
      <c r="P552" s="2215"/>
      <c r="Q552" s="2174"/>
      <c r="R552" s="2174"/>
      <c r="S552" s="2174"/>
      <c r="T552" s="2174"/>
      <c r="U552" s="2174"/>
      <c r="V552" s="2174"/>
      <c r="W552" s="2174"/>
      <c r="X552" s="2174"/>
      <c r="Y552" s="2174"/>
      <c r="Z552" s="2174"/>
      <c r="AA552" s="2174"/>
      <c r="AB552" s="2174"/>
      <c r="AC552" s="2174"/>
    </row>
    <row r="553" spans="1:29">
      <c r="A553" s="2174"/>
      <c r="B553" s="2174"/>
      <c r="C553" s="2174"/>
      <c r="D553" s="2174"/>
      <c r="E553" s="2174"/>
      <c r="F553" s="2174"/>
      <c r="G553" s="2174"/>
      <c r="H553" s="2174"/>
      <c r="I553" s="2174"/>
      <c r="J553" s="2174"/>
      <c r="K553" s="2175"/>
      <c r="L553" s="2176"/>
      <c r="M553" s="2174"/>
      <c r="N553" s="2174"/>
      <c r="O553" s="2174"/>
      <c r="P553" s="2215"/>
      <c r="Q553" s="2174"/>
      <c r="R553" s="2174"/>
      <c r="S553" s="2174"/>
      <c r="T553" s="2174"/>
      <c r="U553" s="2174"/>
      <c r="V553" s="2174"/>
      <c r="W553" s="2174"/>
      <c r="X553" s="2174"/>
      <c r="Y553" s="2174"/>
      <c r="Z553" s="2174"/>
      <c r="AA553" s="2174"/>
      <c r="AB553" s="2174"/>
      <c r="AC553" s="2174"/>
    </row>
    <row r="554" spans="1:29">
      <c r="A554" s="2174"/>
      <c r="B554" s="2174"/>
      <c r="C554" s="2174"/>
      <c r="D554" s="2174"/>
      <c r="E554" s="2174"/>
      <c r="F554" s="2174"/>
      <c r="G554" s="2174"/>
      <c r="H554" s="2174"/>
      <c r="I554" s="2174"/>
      <c r="J554" s="2174"/>
      <c r="K554" s="2175"/>
      <c r="L554" s="2176"/>
      <c r="M554" s="2174"/>
      <c r="N554" s="2174"/>
      <c r="O554" s="2174"/>
      <c r="P554" s="2215"/>
      <c r="Q554" s="2174"/>
      <c r="R554" s="2174"/>
      <c r="S554" s="2174"/>
      <c r="T554" s="2174"/>
      <c r="U554" s="2174"/>
      <c r="V554" s="2174"/>
      <c r="W554" s="2174"/>
      <c r="X554" s="2174"/>
      <c r="Y554" s="2174"/>
      <c r="Z554" s="2174"/>
      <c r="AA554" s="2174"/>
      <c r="AB554" s="2174"/>
      <c r="AC554" s="2174"/>
    </row>
    <row r="555" spans="1:29">
      <c r="A555" s="2174"/>
      <c r="B555" s="2174"/>
      <c r="C555" s="2174"/>
      <c r="D555" s="2174"/>
      <c r="E555" s="2174"/>
      <c r="F555" s="2174"/>
      <c r="G555" s="2174"/>
      <c r="H555" s="2174"/>
      <c r="I555" s="2174"/>
      <c r="J555" s="2174"/>
      <c r="K555" s="2175"/>
      <c r="L555" s="2176"/>
      <c r="M555" s="2174"/>
      <c r="N555" s="2174"/>
      <c r="O555" s="2174"/>
      <c r="P555" s="2215"/>
      <c r="Q555" s="2174"/>
      <c r="R555" s="2174"/>
      <c r="S555" s="2174"/>
      <c r="T555" s="2174"/>
      <c r="U555" s="2174"/>
      <c r="V555" s="2174"/>
      <c r="W555" s="2174"/>
      <c r="X555" s="2174"/>
      <c r="Y555" s="2174"/>
      <c r="Z555" s="2174"/>
      <c r="AA555" s="2174"/>
      <c r="AB555" s="2174"/>
      <c r="AC555" s="2174"/>
    </row>
    <row r="556" spans="1:29">
      <c r="A556" s="2174"/>
      <c r="B556" s="2174"/>
      <c r="C556" s="2174"/>
      <c r="D556" s="2174"/>
      <c r="E556" s="2174"/>
      <c r="F556" s="2174"/>
      <c r="G556" s="2174"/>
      <c r="H556" s="2174"/>
      <c r="I556" s="2174"/>
      <c r="J556" s="2174"/>
      <c r="K556" s="2175"/>
      <c r="L556" s="2176"/>
      <c r="M556" s="2174"/>
      <c r="N556" s="2174"/>
      <c r="O556" s="2174"/>
      <c r="P556" s="2215"/>
      <c r="Q556" s="2174"/>
      <c r="R556" s="2174"/>
      <c r="S556" s="2174"/>
      <c r="T556" s="2174"/>
      <c r="U556" s="2174"/>
      <c r="V556" s="2174"/>
      <c r="W556" s="2174"/>
      <c r="X556" s="2174"/>
      <c r="Y556" s="2174"/>
      <c r="Z556" s="2174"/>
      <c r="AA556" s="2174"/>
      <c r="AB556" s="2174"/>
      <c r="AC556" s="2174"/>
    </row>
    <row r="557" spans="1:29">
      <c r="A557" s="2174"/>
      <c r="B557" s="2174"/>
      <c r="C557" s="2174"/>
      <c r="D557" s="2174"/>
      <c r="E557" s="2174"/>
      <c r="F557" s="2174"/>
      <c r="G557" s="2174"/>
      <c r="H557" s="2174"/>
      <c r="I557" s="2174"/>
      <c r="J557" s="2174"/>
      <c r="K557" s="2175"/>
      <c r="L557" s="2176"/>
      <c r="M557" s="2174"/>
      <c r="N557" s="2174"/>
      <c r="O557" s="2174"/>
      <c r="P557" s="2215"/>
      <c r="Q557" s="2174"/>
      <c r="R557" s="2174"/>
      <c r="S557" s="2174"/>
      <c r="T557" s="2174"/>
      <c r="U557" s="2174"/>
      <c r="V557" s="2174"/>
      <c r="W557" s="2174"/>
      <c r="X557" s="2174"/>
      <c r="Y557" s="2174"/>
      <c r="Z557" s="2174"/>
      <c r="AA557" s="2174"/>
      <c r="AB557" s="2174"/>
      <c r="AC557" s="2174"/>
    </row>
    <row r="558" spans="1:29">
      <c r="A558" s="2174"/>
      <c r="B558" s="2174"/>
      <c r="C558" s="2174"/>
      <c r="D558" s="2174"/>
      <c r="E558" s="2174"/>
      <c r="F558" s="2174"/>
      <c r="G558" s="2174"/>
      <c r="H558" s="2174"/>
      <c r="I558" s="2174"/>
      <c r="J558" s="2174"/>
      <c r="K558" s="2175"/>
      <c r="L558" s="2176"/>
      <c r="M558" s="2174"/>
      <c r="N558" s="2174"/>
      <c r="O558" s="2174"/>
      <c r="P558" s="2215"/>
      <c r="Q558" s="2174"/>
      <c r="R558" s="2174"/>
      <c r="S558" s="2174"/>
      <c r="T558" s="2174"/>
      <c r="U558" s="2174"/>
      <c r="V558" s="2174"/>
      <c r="W558" s="2174"/>
      <c r="X558" s="2174"/>
      <c r="Y558" s="2174"/>
      <c r="Z558" s="2174"/>
      <c r="AA558" s="2174"/>
      <c r="AB558" s="2174"/>
      <c r="AC558" s="2174"/>
    </row>
    <row r="559" spans="1:29">
      <c r="A559" s="2174"/>
      <c r="B559" s="2174"/>
      <c r="C559" s="2174"/>
      <c r="D559" s="2174"/>
      <c r="E559" s="2174"/>
      <c r="F559" s="2174"/>
      <c r="G559" s="2174"/>
      <c r="H559" s="2174"/>
      <c r="I559" s="2174"/>
      <c r="J559" s="2174"/>
      <c r="K559" s="2175"/>
      <c r="L559" s="2176"/>
      <c r="M559" s="2174"/>
      <c r="N559" s="2174"/>
      <c r="O559" s="2174"/>
      <c r="P559" s="2215"/>
      <c r="Q559" s="2174"/>
      <c r="R559" s="2174"/>
      <c r="S559" s="2174"/>
      <c r="T559" s="2174"/>
      <c r="U559" s="2174"/>
      <c r="V559" s="2174"/>
      <c r="W559" s="2174"/>
      <c r="X559" s="2174"/>
      <c r="Y559" s="2174"/>
      <c r="Z559" s="2174"/>
      <c r="AA559" s="2174"/>
      <c r="AB559" s="2174"/>
      <c r="AC559" s="2174"/>
    </row>
    <row r="560" spans="1:29">
      <c r="A560" s="2174"/>
      <c r="B560" s="2174"/>
      <c r="C560" s="2174"/>
      <c r="D560" s="2174"/>
      <c r="E560" s="2174"/>
      <c r="F560" s="2174"/>
      <c r="G560" s="2174"/>
      <c r="H560" s="2174"/>
      <c r="I560" s="2174"/>
      <c r="J560" s="2174"/>
      <c r="K560" s="2175"/>
      <c r="L560" s="2176"/>
      <c r="M560" s="2174"/>
      <c r="N560" s="2174"/>
      <c r="O560" s="2174"/>
      <c r="P560" s="2215"/>
      <c r="Q560" s="2174"/>
      <c r="R560" s="2174"/>
      <c r="S560" s="2174"/>
      <c r="T560" s="2174"/>
      <c r="U560" s="2174"/>
      <c r="V560" s="2174"/>
      <c r="W560" s="2174"/>
      <c r="X560" s="2174"/>
      <c r="Y560" s="2174"/>
      <c r="Z560" s="2174"/>
      <c r="AA560" s="2174"/>
      <c r="AB560" s="2174"/>
      <c r="AC560" s="2174"/>
    </row>
    <row r="561" spans="1:29">
      <c r="A561" s="2174"/>
      <c r="B561" s="2174"/>
      <c r="C561" s="2174"/>
      <c r="D561" s="2174"/>
      <c r="E561" s="2174"/>
      <c r="F561" s="2174"/>
      <c r="G561" s="2174"/>
      <c r="H561" s="2174"/>
      <c r="I561" s="2174"/>
      <c r="J561" s="2174"/>
      <c r="K561" s="2175"/>
      <c r="L561" s="2176"/>
      <c r="M561" s="2174"/>
      <c r="N561" s="2174"/>
      <c r="O561" s="2174"/>
      <c r="P561" s="2215"/>
      <c r="Q561" s="2174"/>
      <c r="R561" s="2174"/>
      <c r="S561" s="2174"/>
      <c r="T561" s="2174"/>
      <c r="U561" s="2174"/>
      <c r="V561" s="2174"/>
      <c r="W561" s="2174"/>
      <c r="X561" s="2174"/>
      <c r="Y561" s="2174"/>
      <c r="Z561" s="2174"/>
      <c r="AA561" s="2174"/>
      <c r="AB561" s="2174"/>
      <c r="AC561" s="2174"/>
    </row>
    <row r="562" spans="1:29">
      <c r="A562" s="2174"/>
      <c r="B562" s="2174"/>
      <c r="C562" s="2174"/>
      <c r="D562" s="2174"/>
      <c r="E562" s="2174"/>
      <c r="F562" s="2174"/>
      <c r="G562" s="2174"/>
      <c r="H562" s="2174"/>
      <c r="I562" s="2174"/>
      <c r="J562" s="2174"/>
      <c r="K562" s="2175"/>
      <c r="L562" s="2176"/>
      <c r="M562" s="2174"/>
      <c r="N562" s="2174"/>
      <c r="O562" s="2174"/>
      <c r="P562" s="2215"/>
      <c r="Q562" s="2174"/>
      <c r="R562" s="2174"/>
      <c r="S562" s="2174"/>
      <c r="T562" s="2174"/>
      <c r="U562" s="2174"/>
      <c r="V562" s="2174"/>
      <c r="W562" s="2174"/>
      <c r="X562" s="2174"/>
      <c r="Y562" s="2174"/>
      <c r="Z562" s="2174"/>
      <c r="AA562" s="2174"/>
      <c r="AB562" s="2174"/>
      <c r="AC562" s="2174"/>
    </row>
    <row r="563" spans="1:29">
      <c r="A563" s="2174"/>
      <c r="B563" s="2174"/>
      <c r="C563" s="2174"/>
      <c r="D563" s="2174"/>
      <c r="E563" s="2174"/>
      <c r="F563" s="2174"/>
      <c r="G563" s="2174"/>
      <c r="H563" s="2174"/>
      <c r="I563" s="2174"/>
      <c r="J563" s="2174"/>
      <c r="K563" s="2175"/>
      <c r="L563" s="2176"/>
      <c r="M563" s="2174"/>
      <c r="N563" s="2174"/>
      <c r="O563" s="2174"/>
      <c r="P563" s="2215"/>
      <c r="Q563" s="2174"/>
      <c r="R563" s="2174"/>
      <c r="S563" s="2174"/>
      <c r="T563" s="2174"/>
      <c r="U563" s="2174"/>
      <c r="V563" s="2174"/>
      <c r="W563" s="2174"/>
      <c r="X563" s="2174"/>
      <c r="Y563" s="2174"/>
      <c r="Z563" s="2174"/>
      <c r="AA563" s="2174"/>
      <c r="AB563" s="2174"/>
      <c r="AC563" s="2174"/>
    </row>
    <row r="564" spans="1:29">
      <c r="A564" s="2174"/>
      <c r="B564" s="2174"/>
      <c r="C564" s="2174"/>
      <c r="D564" s="2174"/>
      <c r="E564" s="2174"/>
      <c r="F564" s="2174"/>
      <c r="G564" s="2174"/>
      <c r="H564" s="2174"/>
      <c r="I564" s="2174"/>
      <c r="J564" s="2174"/>
      <c r="K564" s="2175"/>
      <c r="L564" s="2176"/>
      <c r="M564" s="2174"/>
      <c r="N564" s="2174"/>
      <c r="O564" s="2174"/>
      <c r="P564" s="2215"/>
      <c r="Q564" s="2174"/>
      <c r="R564" s="2174"/>
      <c r="S564" s="2174"/>
      <c r="T564" s="2174"/>
      <c r="U564" s="2174"/>
      <c r="V564" s="2174"/>
      <c r="W564" s="2174"/>
      <c r="X564" s="2174"/>
      <c r="Y564" s="2174"/>
      <c r="Z564" s="2174"/>
      <c r="AA564" s="2174"/>
      <c r="AB564" s="2174"/>
      <c r="AC564" s="2174"/>
    </row>
    <row r="565" spans="1:29">
      <c r="A565" s="2174"/>
      <c r="B565" s="2174"/>
      <c r="C565" s="2174"/>
      <c r="D565" s="2174"/>
      <c r="E565" s="2174"/>
      <c r="F565" s="2174"/>
      <c r="G565" s="2174"/>
      <c r="H565" s="2174"/>
      <c r="I565" s="2174"/>
      <c r="J565" s="2174"/>
      <c r="K565" s="2175"/>
      <c r="L565" s="2176"/>
      <c r="M565" s="2174"/>
      <c r="N565" s="2174"/>
      <c r="O565" s="2174"/>
      <c r="P565" s="2215"/>
      <c r="Q565" s="2174"/>
      <c r="R565" s="2174"/>
      <c r="S565" s="2174"/>
      <c r="T565" s="2174"/>
      <c r="U565" s="2174"/>
      <c r="V565" s="2174"/>
      <c r="W565" s="2174"/>
      <c r="X565" s="2174"/>
      <c r="Y565" s="2174"/>
      <c r="Z565" s="2174"/>
      <c r="AA565" s="2174"/>
      <c r="AB565" s="2174"/>
      <c r="AC565" s="2174"/>
    </row>
    <row r="566" spans="1:29">
      <c r="A566" s="2174"/>
      <c r="B566" s="2174"/>
      <c r="C566" s="2174"/>
      <c r="D566" s="2174"/>
      <c r="E566" s="2174"/>
      <c r="F566" s="2174"/>
      <c r="G566" s="2174"/>
      <c r="H566" s="2174"/>
      <c r="I566" s="2174"/>
      <c r="J566" s="2174"/>
      <c r="K566" s="2175"/>
      <c r="L566" s="2176"/>
      <c r="M566" s="2174"/>
      <c r="N566" s="2174"/>
      <c r="O566" s="2174"/>
      <c r="P566" s="2215"/>
      <c r="Q566" s="2174"/>
      <c r="R566" s="2174"/>
      <c r="S566" s="2174"/>
      <c r="T566" s="2174"/>
      <c r="U566" s="2174"/>
      <c r="V566" s="2174"/>
      <c r="W566" s="2174"/>
      <c r="X566" s="2174"/>
      <c r="Y566" s="2174"/>
      <c r="Z566" s="2174"/>
      <c r="AA566" s="2174"/>
      <c r="AB566" s="2174"/>
      <c r="AC566" s="2174"/>
    </row>
    <row r="567" spans="1:29">
      <c r="A567" s="2174"/>
      <c r="B567" s="2174"/>
      <c r="C567" s="2174"/>
      <c r="D567" s="2174"/>
      <c r="E567" s="2174"/>
      <c r="F567" s="2174"/>
      <c r="G567" s="2174"/>
      <c r="H567" s="2174"/>
      <c r="I567" s="2174"/>
      <c r="J567" s="2174"/>
      <c r="K567" s="2175"/>
      <c r="L567" s="2176"/>
      <c r="M567" s="2174"/>
      <c r="N567" s="2174"/>
      <c r="O567" s="2174"/>
      <c r="P567" s="2215"/>
      <c r="Q567" s="2174"/>
      <c r="R567" s="2174"/>
      <c r="S567" s="2174"/>
      <c r="T567" s="2174"/>
      <c r="U567" s="2174"/>
      <c r="V567" s="2174"/>
      <c r="W567" s="2174"/>
      <c r="X567" s="2174"/>
      <c r="Y567" s="2174"/>
      <c r="Z567" s="2174"/>
      <c r="AA567" s="2174"/>
      <c r="AB567" s="2174"/>
      <c r="AC567" s="2174"/>
    </row>
    <row r="568" spans="1:29">
      <c r="A568" s="2174"/>
      <c r="B568" s="2174"/>
      <c r="C568" s="2174"/>
      <c r="D568" s="2174"/>
      <c r="E568" s="2174"/>
      <c r="F568" s="2174"/>
      <c r="G568" s="2174"/>
      <c r="H568" s="2174"/>
      <c r="I568" s="2174"/>
      <c r="J568" s="2174"/>
      <c r="K568" s="2175"/>
      <c r="L568" s="2176"/>
      <c r="M568" s="2174"/>
      <c r="N568" s="2174"/>
      <c r="O568" s="2174"/>
      <c r="P568" s="2215"/>
      <c r="Q568" s="2174"/>
      <c r="R568" s="2174"/>
      <c r="S568" s="2174"/>
      <c r="T568" s="2174"/>
      <c r="U568" s="2174"/>
      <c r="V568" s="2174"/>
      <c r="W568" s="2174"/>
      <c r="X568" s="2174"/>
      <c r="Y568" s="2174"/>
      <c r="Z568" s="2174"/>
      <c r="AA568" s="2174"/>
      <c r="AB568" s="2174"/>
      <c r="AC568" s="2174"/>
    </row>
    <row r="569" spans="1:29">
      <c r="A569" s="2174"/>
      <c r="B569" s="2174"/>
      <c r="C569" s="2174"/>
      <c r="D569" s="2174"/>
      <c r="E569" s="2174"/>
      <c r="F569" s="2174"/>
      <c r="G569" s="2174"/>
      <c r="H569" s="2174"/>
      <c r="I569" s="2174"/>
      <c r="J569" s="2174"/>
      <c r="K569" s="2175"/>
      <c r="L569" s="2176"/>
      <c r="M569" s="2174"/>
      <c r="N569" s="2174"/>
      <c r="O569" s="2174"/>
      <c r="P569" s="2215"/>
      <c r="Q569" s="2174"/>
      <c r="R569" s="2174"/>
      <c r="S569" s="2174"/>
      <c r="T569" s="2174"/>
      <c r="U569" s="2174"/>
      <c r="V569" s="2174"/>
      <c r="W569" s="2174"/>
      <c r="X569" s="2174"/>
      <c r="Y569" s="2174"/>
      <c r="Z569" s="2174"/>
      <c r="AA569" s="2174"/>
      <c r="AB569" s="2174"/>
      <c r="AC569" s="2174"/>
    </row>
    <row r="570" spans="1:29">
      <c r="A570" s="2174"/>
      <c r="B570" s="2174"/>
      <c r="C570" s="2174"/>
      <c r="D570" s="2174"/>
      <c r="E570" s="2174"/>
      <c r="F570" s="2174"/>
      <c r="G570" s="2174"/>
      <c r="H570" s="2174"/>
      <c r="I570" s="2174"/>
      <c r="J570" s="2174"/>
      <c r="K570" s="2175"/>
      <c r="L570" s="2176"/>
      <c r="M570" s="2174"/>
      <c r="N570" s="2174"/>
      <c r="O570" s="2174"/>
      <c r="P570" s="2215"/>
      <c r="Q570" s="2174"/>
      <c r="R570" s="2174"/>
      <c r="S570" s="2174"/>
      <c r="T570" s="2174"/>
      <c r="U570" s="2174"/>
      <c r="V570" s="2174"/>
      <c r="W570" s="2174"/>
      <c r="X570" s="2174"/>
      <c r="Y570" s="2174"/>
      <c r="Z570" s="2174"/>
      <c r="AA570" s="2174"/>
      <c r="AB570" s="2174"/>
      <c r="AC570" s="2174"/>
    </row>
    <row r="571" spans="1:29">
      <c r="A571" s="2174"/>
      <c r="B571" s="2174"/>
      <c r="C571" s="2174"/>
      <c r="D571" s="2174"/>
      <c r="E571" s="2174"/>
      <c r="F571" s="2174"/>
      <c r="G571" s="2174"/>
      <c r="H571" s="2174"/>
      <c r="I571" s="2174"/>
      <c r="J571" s="2174"/>
      <c r="K571" s="2175"/>
      <c r="L571" s="2176"/>
      <c r="M571" s="2174"/>
      <c r="N571" s="2174"/>
      <c r="O571" s="2174"/>
      <c r="P571" s="2215"/>
      <c r="Q571" s="2174"/>
      <c r="R571" s="2174"/>
      <c r="S571" s="2174"/>
      <c r="T571" s="2174"/>
      <c r="U571" s="2174"/>
      <c r="V571" s="2174"/>
      <c r="W571" s="2174"/>
      <c r="X571" s="2174"/>
      <c r="Y571" s="2174"/>
      <c r="Z571" s="2174"/>
      <c r="AA571" s="2174"/>
      <c r="AB571" s="2174"/>
      <c r="AC571" s="2174"/>
    </row>
    <row r="572" spans="1:29">
      <c r="A572" s="2174"/>
      <c r="B572" s="2174"/>
      <c r="C572" s="2174"/>
      <c r="D572" s="2174"/>
      <c r="E572" s="2174"/>
      <c r="F572" s="2174"/>
      <c r="G572" s="2174"/>
      <c r="H572" s="2174"/>
      <c r="I572" s="2174"/>
      <c r="J572" s="2174"/>
      <c r="K572" s="2175"/>
      <c r="L572" s="2176"/>
      <c r="M572" s="2174"/>
      <c r="N572" s="2174"/>
      <c r="O572" s="2174"/>
      <c r="P572" s="2215"/>
      <c r="Q572" s="2174"/>
      <c r="R572" s="2174"/>
      <c r="S572" s="2174"/>
      <c r="T572" s="2174"/>
      <c r="U572" s="2174"/>
      <c r="V572" s="2174"/>
      <c r="W572" s="2174"/>
      <c r="X572" s="2174"/>
      <c r="Y572" s="2174"/>
      <c r="Z572" s="2174"/>
      <c r="AA572" s="2174"/>
      <c r="AB572" s="2174"/>
      <c r="AC572" s="2174"/>
    </row>
    <row r="573" spans="1:29">
      <c r="A573" s="2174"/>
      <c r="B573" s="2174"/>
      <c r="C573" s="2174"/>
      <c r="D573" s="2174"/>
      <c r="E573" s="2174"/>
      <c r="F573" s="2174"/>
      <c r="G573" s="2174"/>
      <c r="H573" s="2174"/>
      <c r="I573" s="2174"/>
      <c r="J573" s="2174"/>
      <c r="K573" s="2175"/>
      <c r="L573" s="2176"/>
      <c r="M573" s="2174"/>
      <c r="N573" s="2174"/>
      <c r="O573" s="2174"/>
      <c r="P573" s="2215"/>
      <c r="Q573" s="2174"/>
      <c r="R573" s="2174"/>
      <c r="S573" s="2174"/>
      <c r="T573" s="2174"/>
      <c r="U573" s="2174"/>
      <c r="V573" s="2174"/>
      <c r="W573" s="2174"/>
      <c r="X573" s="2174"/>
      <c r="Y573" s="2174"/>
      <c r="Z573" s="2174"/>
      <c r="AA573" s="2174"/>
      <c r="AB573" s="2174"/>
      <c r="AC573" s="2174"/>
    </row>
    <row r="574" spans="1:29">
      <c r="A574" s="2174"/>
      <c r="B574" s="2174"/>
      <c r="C574" s="2174"/>
      <c r="D574" s="2174"/>
      <c r="E574" s="2174"/>
      <c r="F574" s="2174"/>
      <c r="G574" s="2174"/>
      <c r="H574" s="2174"/>
      <c r="I574" s="2174"/>
      <c r="J574" s="2174"/>
      <c r="K574" s="2175"/>
      <c r="L574" s="2176"/>
      <c r="M574" s="2174"/>
      <c r="N574" s="2174"/>
      <c r="O574" s="2174"/>
      <c r="P574" s="2215"/>
      <c r="Q574" s="2174"/>
      <c r="R574" s="2174"/>
      <c r="S574" s="2174"/>
      <c r="T574" s="2174"/>
      <c r="U574" s="2174"/>
      <c r="V574" s="2174"/>
      <c r="W574" s="2174"/>
      <c r="X574" s="2174"/>
      <c r="Y574" s="2174"/>
      <c r="Z574" s="2174"/>
      <c r="AA574" s="2174"/>
      <c r="AB574" s="2174"/>
      <c r="AC574" s="2174"/>
    </row>
    <row r="575" spans="1:29">
      <c r="A575" s="2174"/>
      <c r="B575" s="2174"/>
      <c r="C575" s="2174"/>
      <c r="D575" s="2174"/>
      <c r="E575" s="2174"/>
      <c r="F575" s="2174"/>
      <c r="G575" s="2174"/>
      <c r="H575" s="2174"/>
      <c r="I575" s="2174"/>
      <c r="J575" s="2174"/>
      <c r="K575" s="2175"/>
      <c r="L575" s="2176"/>
      <c r="M575" s="2174"/>
      <c r="N575" s="2174"/>
      <c r="O575" s="2174"/>
      <c r="P575" s="2215"/>
      <c r="Q575" s="2174"/>
      <c r="R575" s="2174"/>
      <c r="S575" s="2174"/>
      <c r="T575" s="2174"/>
      <c r="U575" s="2174"/>
      <c r="V575" s="2174"/>
      <c r="W575" s="2174"/>
      <c r="X575" s="2174"/>
      <c r="Y575" s="2174"/>
      <c r="Z575" s="2174"/>
      <c r="AA575" s="2174"/>
      <c r="AB575" s="2174"/>
      <c r="AC575" s="2174"/>
    </row>
    <row r="576" spans="1:29">
      <c r="A576" s="2174"/>
      <c r="B576" s="2174"/>
      <c r="C576" s="2174"/>
      <c r="D576" s="2174"/>
      <c r="E576" s="2174"/>
      <c r="F576" s="2174"/>
      <c r="G576" s="2174"/>
      <c r="H576" s="2174"/>
      <c r="I576" s="2174"/>
      <c r="J576" s="2174"/>
      <c r="K576" s="2175"/>
      <c r="L576" s="2176"/>
      <c r="M576" s="2174"/>
      <c r="N576" s="2174"/>
      <c r="O576" s="2174"/>
      <c r="P576" s="2215"/>
      <c r="Q576" s="2174"/>
      <c r="R576" s="2174"/>
      <c r="S576" s="2174"/>
      <c r="T576" s="2174"/>
      <c r="U576" s="2174"/>
      <c r="V576" s="2174"/>
      <c r="W576" s="2174"/>
      <c r="X576" s="2174"/>
      <c r="Y576" s="2174"/>
      <c r="Z576" s="2174"/>
      <c r="AA576" s="2174"/>
      <c r="AB576" s="2174"/>
      <c r="AC576" s="2174"/>
    </row>
    <row r="577" spans="1:29">
      <c r="A577" s="2174"/>
      <c r="B577" s="2174"/>
      <c r="C577" s="2174"/>
      <c r="D577" s="2174"/>
      <c r="E577" s="2174"/>
      <c r="F577" s="2174"/>
      <c r="G577" s="2174"/>
      <c r="H577" s="2174"/>
      <c r="I577" s="2174"/>
      <c r="J577" s="2174"/>
      <c r="K577" s="2175"/>
      <c r="L577" s="2176"/>
      <c r="M577" s="2174"/>
      <c r="N577" s="2174"/>
      <c r="O577" s="2174"/>
      <c r="P577" s="2215"/>
      <c r="Q577" s="2174"/>
      <c r="R577" s="2174"/>
      <c r="S577" s="2174"/>
      <c r="T577" s="2174"/>
      <c r="U577" s="2174"/>
      <c r="V577" s="2174"/>
      <c r="W577" s="2174"/>
      <c r="X577" s="2174"/>
      <c r="Y577" s="2174"/>
      <c r="Z577" s="2174"/>
      <c r="AA577" s="2174"/>
      <c r="AB577" s="2174"/>
      <c r="AC577" s="2174"/>
    </row>
    <row r="578" spans="1:29">
      <c r="A578" s="2174"/>
      <c r="B578" s="2174"/>
      <c r="C578" s="2174"/>
      <c r="D578" s="2174"/>
      <c r="E578" s="2174"/>
      <c r="F578" s="2174"/>
      <c r="G578" s="2174"/>
      <c r="H578" s="2174"/>
      <c r="I578" s="2174"/>
      <c r="J578" s="2174"/>
      <c r="K578" s="2175"/>
      <c r="L578" s="2176"/>
      <c r="M578" s="2174"/>
      <c r="N578" s="2174"/>
      <c r="O578" s="2174"/>
      <c r="P578" s="2215"/>
      <c r="Q578" s="2174"/>
      <c r="R578" s="2174"/>
      <c r="S578" s="2174"/>
      <c r="T578" s="2174"/>
      <c r="U578" s="2174"/>
      <c r="V578" s="2174"/>
      <c r="W578" s="2174"/>
      <c r="X578" s="2174"/>
      <c r="Y578" s="2174"/>
      <c r="Z578" s="2174"/>
      <c r="AA578" s="2174"/>
      <c r="AB578" s="2174"/>
      <c r="AC578" s="2174"/>
    </row>
    <row r="579" spans="1:29">
      <c r="A579" s="2174"/>
      <c r="B579" s="2174"/>
      <c r="C579" s="2174"/>
      <c r="D579" s="2174"/>
      <c r="E579" s="2174"/>
      <c r="F579" s="2174"/>
      <c r="G579" s="2174"/>
      <c r="H579" s="2174"/>
      <c r="I579" s="2174"/>
      <c r="J579" s="2174"/>
      <c r="K579" s="2175"/>
      <c r="L579" s="2176"/>
      <c r="M579" s="2174"/>
      <c r="N579" s="2174"/>
      <c r="O579" s="2174"/>
      <c r="P579" s="2215"/>
      <c r="Q579" s="2174"/>
      <c r="R579" s="2174"/>
      <c r="S579" s="2174"/>
      <c r="T579" s="2174"/>
      <c r="U579" s="2174"/>
      <c r="V579" s="2174"/>
      <c r="W579" s="2174"/>
      <c r="X579" s="2174"/>
      <c r="Y579" s="2174"/>
      <c r="Z579" s="2174"/>
      <c r="AA579" s="2174"/>
      <c r="AB579" s="2174"/>
      <c r="AC579" s="2174"/>
    </row>
    <row r="580" spans="1:29">
      <c r="A580" s="2174"/>
      <c r="B580" s="2174"/>
      <c r="C580" s="2174"/>
      <c r="D580" s="2174"/>
      <c r="E580" s="2174"/>
      <c r="F580" s="2174"/>
      <c r="G580" s="2174"/>
      <c r="H580" s="2174"/>
      <c r="I580" s="2174"/>
      <c r="J580" s="2174"/>
      <c r="K580" s="2175"/>
      <c r="L580" s="2176"/>
      <c r="M580" s="2174"/>
      <c r="N580" s="2174"/>
      <c r="O580" s="2174"/>
      <c r="P580" s="2215"/>
      <c r="Q580" s="2174"/>
      <c r="R580" s="2174"/>
      <c r="S580" s="2174"/>
      <c r="T580" s="2174"/>
      <c r="U580" s="2174"/>
      <c r="V580" s="2174"/>
      <c r="W580" s="2174"/>
      <c r="X580" s="2174"/>
      <c r="Y580" s="2174"/>
      <c r="Z580" s="2174"/>
      <c r="AA580" s="2174"/>
      <c r="AB580" s="2174"/>
      <c r="AC580" s="2174"/>
    </row>
    <row r="581" spans="1:29">
      <c r="A581" s="2174"/>
      <c r="B581" s="2174"/>
      <c r="C581" s="2174"/>
      <c r="D581" s="2174"/>
      <c r="E581" s="2174"/>
      <c r="F581" s="2174"/>
      <c r="G581" s="2174"/>
      <c r="H581" s="2174"/>
      <c r="I581" s="2174"/>
      <c r="J581" s="2174"/>
      <c r="K581" s="2175"/>
      <c r="L581" s="2176"/>
      <c r="M581" s="2174"/>
      <c r="N581" s="2174"/>
      <c r="O581" s="2174"/>
      <c r="P581" s="2215"/>
      <c r="Q581" s="2174"/>
      <c r="R581" s="2174"/>
      <c r="S581" s="2174"/>
      <c r="T581" s="2174"/>
      <c r="U581" s="2174"/>
      <c r="V581" s="2174"/>
      <c r="W581" s="2174"/>
      <c r="X581" s="2174"/>
      <c r="Y581" s="2174"/>
      <c r="Z581" s="2174"/>
      <c r="AA581" s="2174"/>
      <c r="AB581" s="2174"/>
      <c r="AC581" s="2174"/>
    </row>
    <row r="582" spans="1:29">
      <c r="A582" s="2174"/>
      <c r="B582" s="2174"/>
      <c r="C582" s="2174"/>
      <c r="D582" s="2174"/>
      <c r="E582" s="2174"/>
      <c r="F582" s="2174"/>
      <c r="G582" s="2174"/>
      <c r="H582" s="2174"/>
      <c r="I582" s="2174"/>
      <c r="J582" s="2174"/>
      <c r="K582" s="2175"/>
      <c r="L582" s="2176"/>
      <c r="M582" s="2174"/>
      <c r="N582" s="2174"/>
      <c r="O582" s="2174"/>
      <c r="P582" s="2215"/>
      <c r="Q582" s="2174"/>
      <c r="R582" s="2174"/>
      <c r="S582" s="2174"/>
      <c r="T582" s="2174"/>
      <c r="U582" s="2174"/>
      <c r="V582" s="2174"/>
      <c r="W582" s="2174"/>
      <c r="X582" s="2174"/>
      <c r="Y582" s="2174"/>
      <c r="Z582" s="2174"/>
      <c r="AA582" s="2174"/>
      <c r="AB582" s="2174"/>
      <c r="AC582" s="2174"/>
    </row>
    <row r="583" spans="1:29">
      <c r="A583" s="2174"/>
      <c r="B583" s="2174"/>
      <c r="C583" s="2174"/>
      <c r="D583" s="2174"/>
      <c r="E583" s="2174"/>
      <c r="F583" s="2174"/>
      <c r="G583" s="2174"/>
      <c r="H583" s="2174"/>
      <c r="I583" s="2174"/>
      <c r="J583" s="2174"/>
      <c r="K583" s="2175"/>
      <c r="L583" s="2176"/>
      <c r="M583" s="2174"/>
      <c r="N583" s="2174"/>
      <c r="O583" s="2174"/>
      <c r="P583" s="2215"/>
      <c r="Q583" s="2174"/>
      <c r="R583" s="2174"/>
      <c r="S583" s="2174"/>
      <c r="T583" s="2174"/>
      <c r="U583" s="2174"/>
      <c r="V583" s="2174"/>
      <c r="W583" s="2174"/>
      <c r="X583" s="2174"/>
      <c r="Y583" s="2174"/>
      <c r="Z583" s="2174"/>
      <c r="AA583" s="2174"/>
      <c r="AB583" s="2174"/>
      <c r="AC583" s="2174"/>
    </row>
    <row r="584" spans="1:29">
      <c r="A584" s="2174"/>
      <c r="B584" s="2174"/>
      <c r="C584" s="2174"/>
      <c r="D584" s="2174"/>
      <c r="E584" s="2174"/>
      <c r="F584" s="2174"/>
      <c r="G584" s="2174"/>
      <c r="H584" s="2174"/>
      <c r="I584" s="2174"/>
      <c r="J584" s="2174"/>
      <c r="K584" s="2175"/>
      <c r="L584" s="2176"/>
      <c r="M584" s="2174"/>
      <c r="N584" s="2174"/>
      <c r="O584" s="2174"/>
      <c r="P584" s="2215"/>
      <c r="Q584" s="2174"/>
      <c r="R584" s="2174"/>
      <c r="S584" s="2174"/>
      <c r="T584" s="2174"/>
      <c r="U584" s="2174"/>
      <c r="V584" s="2174"/>
      <c r="W584" s="2174"/>
      <c r="X584" s="2174"/>
      <c r="Y584" s="2174"/>
      <c r="Z584" s="2174"/>
      <c r="AA584" s="2174"/>
      <c r="AB584" s="2174"/>
      <c r="AC584" s="2174"/>
    </row>
    <row r="585" spans="1:29">
      <c r="A585" s="2174"/>
      <c r="B585" s="2174"/>
      <c r="C585" s="2174"/>
      <c r="D585" s="2174"/>
      <c r="E585" s="2174"/>
      <c r="F585" s="2174"/>
      <c r="G585" s="2174"/>
      <c r="H585" s="2174"/>
      <c r="I585" s="2174"/>
      <c r="J585" s="2174"/>
      <c r="K585" s="2175"/>
      <c r="L585" s="2176"/>
      <c r="M585" s="2174"/>
      <c r="N585" s="2174"/>
      <c r="O585" s="2174"/>
      <c r="P585" s="2215"/>
      <c r="Q585" s="2174"/>
      <c r="R585" s="2174"/>
      <c r="S585" s="2174"/>
      <c r="T585" s="2174"/>
      <c r="U585" s="2174"/>
      <c r="V585" s="2174"/>
      <c r="W585" s="2174"/>
      <c r="X585" s="2174"/>
      <c r="Y585" s="2174"/>
      <c r="Z585" s="2174"/>
      <c r="AA585" s="2174"/>
      <c r="AB585" s="2174"/>
      <c r="AC585" s="2174"/>
    </row>
    <row r="586" spans="1:29">
      <c r="A586" s="2174"/>
      <c r="B586" s="2174"/>
      <c r="C586" s="2174"/>
      <c r="D586" s="2174"/>
      <c r="E586" s="2174"/>
      <c r="F586" s="2174"/>
      <c r="G586" s="2174"/>
      <c r="H586" s="2174"/>
      <c r="I586" s="2174"/>
      <c r="J586" s="2174"/>
      <c r="K586" s="2175"/>
      <c r="L586" s="2176"/>
      <c r="M586" s="2174"/>
      <c r="N586" s="2174"/>
      <c r="O586" s="2174"/>
      <c r="P586" s="2215"/>
      <c r="Q586" s="2174"/>
      <c r="R586" s="2174"/>
      <c r="S586" s="2174"/>
      <c r="T586" s="2174"/>
      <c r="U586" s="2174"/>
      <c r="V586" s="2174"/>
      <c r="W586" s="2174"/>
      <c r="X586" s="2174"/>
      <c r="Y586" s="2174"/>
      <c r="Z586" s="2174"/>
      <c r="AA586" s="2174"/>
      <c r="AB586" s="2174"/>
      <c r="AC586" s="2174"/>
    </row>
    <row r="587" spans="1:29">
      <c r="A587" s="2174"/>
      <c r="B587" s="2174"/>
      <c r="C587" s="2174"/>
      <c r="D587" s="2174"/>
      <c r="E587" s="2174"/>
      <c r="F587" s="2174"/>
      <c r="G587" s="2174"/>
      <c r="H587" s="2174"/>
      <c r="I587" s="2174"/>
      <c r="J587" s="2174"/>
      <c r="K587" s="2175"/>
      <c r="L587" s="2176"/>
      <c r="M587" s="2174"/>
      <c r="N587" s="2174"/>
      <c r="O587" s="2174"/>
      <c r="P587" s="2215"/>
      <c r="Q587" s="2174"/>
      <c r="R587" s="2174"/>
      <c r="S587" s="2174"/>
      <c r="T587" s="2174"/>
      <c r="U587" s="2174"/>
      <c r="V587" s="2174"/>
      <c r="W587" s="2174"/>
      <c r="X587" s="2174"/>
      <c r="Y587" s="2174"/>
      <c r="Z587" s="2174"/>
      <c r="AA587" s="2174"/>
      <c r="AB587" s="2174"/>
      <c r="AC587" s="2174"/>
    </row>
    <row r="588" spans="1:29">
      <c r="A588" s="2174"/>
      <c r="B588" s="2174"/>
      <c r="C588" s="2174"/>
      <c r="D588" s="2174"/>
      <c r="E588" s="2174"/>
      <c r="F588" s="2174"/>
      <c r="G588" s="2174"/>
      <c r="H588" s="2174"/>
      <c r="I588" s="2174"/>
      <c r="J588" s="2174"/>
      <c r="K588" s="2175"/>
      <c r="L588" s="2176"/>
      <c r="M588" s="2174"/>
      <c r="N588" s="2174"/>
      <c r="O588" s="2174"/>
      <c r="P588" s="2215"/>
      <c r="Q588" s="2174"/>
      <c r="R588" s="2174"/>
      <c r="S588" s="2174"/>
      <c r="T588" s="2174"/>
      <c r="U588" s="2174"/>
      <c r="V588" s="2174"/>
      <c r="W588" s="2174"/>
      <c r="X588" s="2174"/>
      <c r="Y588" s="2174"/>
      <c r="Z588" s="2174"/>
      <c r="AA588" s="2174"/>
      <c r="AB588" s="2174"/>
      <c r="AC588" s="2174"/>
    </row>
    <row r="589" spans="1:29">
      <c r="A589" s="2174"/>
      <c r="B589" s="2174"/>
      <c r="C589" s="2174"/>
      <c r="D589" s="2174"/>
      <c r="E589" s="2174"/>
      <c r="F589" s="2174"/>
      <c r="G589" s="2174"/>
      <c r="H589" s="2174"/>
      <c r="I589" s="2174"/>
      <c r="J589" s="2174"/>
      <c r="K589" s="2175"/>
      <c r="L589" s="2176"/>
      <c r="M589" s="2174"/>
      <c r="N589" s="2174"/>
      <c r="O589" s="2174"/>
      <c r="P589" s="2215"/>
      <c r="Q589" s="2174"/>
      <c r="R589" s="2174"/>
      <c r="S589" s="2174"/>
      <c r="T589" s="2174"/>
      <c r="U589" s="2174"/>
      <c r="V589" s="2174"/>
      <c r="W589" s="2174"/>
      <c r="X589" s="2174"/>
      <c r="Y589" s="2174"/>
      <c r="Z589" s="2174"/>
      <c r="AA589" s="2174"/>
      <c r="AB589" s="2174"/>
      <c r="AC589" s="2174"/>
    </row>
    <row r="590" spans="1:29">
      <c r="A590" s="2174"/>
      <c r="B590" s="2174"/>
      <c r="C590" s="2174"/>
      <c r="D590" s="2174"/>
      <c r="E590" s="2174"/>
      <c r="F590" s="2174"/>
      <c r="G590" s="2174"/>
      <c r="H590" s="2174"/>
      <c r="I590" s="2174"/>
      <c r="J590" s="2174"/>
      <c r="K590" s="2175"/>
      <c r="L590" s="2176"/>
      <c r="M590" s="2174"/>
      <c r="N590" s="2174"/>
      <c r="O590" s="2174"/>
      <c r="P590" s="2215"/>
      <c r="Q590" s="2174"/>
      <c r="R590" s="2174"/>
      <c r="S590" s="2174"/>
      <c r="T590" s="2174"/>
      <c r="U590" s="2174"/>
      <c r="V590" s="2174"/>
      <c r="W590" s="2174"/>
      <c r="X590" s="2174"/>
      <c r="Y590" s="2174"/>
      <c r="Z590" s="2174"/>
      <c r="AA590" s="2174"/>
      <c r="AB590" s="2174"/>
      <c r="AC590" s="2174"/>
    </row>
    <row r="591" spans="1:29">
      <c r="A591" s="2174"/>
      <c r="B591" s="2174"/>
      <c r="C591" s="2174"/>
      <c r="D591" s="2174"/>
      <c r="E591" s="2174"/>
      <c r="F591" s="2174"/>
      <c r="G591" s="2174"/>
      <c r="H591" s="2174"/>
      <c r="I591" s="2174"/>
      <c r="J591" s="2174"/>
      <c r="K591" s="2175"/>
      <c r="L591" s="2176"/>
      <c r="M591" s="2174"/>
      <c r="N591" s="2174"/>
      <c r="O591" s="2174"/>
      <c r="P591" s="2215"/>
      <c r="Q591" s="2174"/>
      <c r="R591" s="2174"/>
      <c r="S591" s="2174"/>
      <c r="T591" s="2174"/>
      <c r="U591" s="2174"/>
      <c r="V591" s="2174"/>
      <c r="W591" s="2174"/>
      <c r="X591" s="2174"/>
      <c r="Y591" s="2174"/>
      <c r="Z591" s="2174"/>
      <c r="AA591" s="2174"/>
      <c r="AB591" s="2174"/>
      <c r="AC591" s="2174"/>
    </row>
    <row r="592" spans="1:29">
      <c r="A592" s="2174"/>
      <c r="B592" s="2174"/>
      <c r="C592" s="2174"/>
      <c r="D592" s="2174"/>
      <c r="E592" s="2174"/>
      <c r="F592" s="2174"/>
      <c r="G592" s="2174"/>
      <c r="H592" s="2174"/>
      <c r="I592" s="2174"/>
      <c r="J592" s="2174"/>
      <c r="K592" s="2175"/>
      <c r="L592" s="2176"/>
      <c r="M592" s="2174"/>
      <c r="N592" s="2174"/>
      <c r="O592" s="2174"/>
      <c r="P592" s="2215"/>
      <c r="Q592" s="2174"/>
      <c r="R592" s="2174"/>
      <c r="S592" s="2174"/>
      <c r="T592" s="2174"/>
      <c r="U592" s="2174"/>
      <c r="V592" s="2174"/>
      <c r="W592" s="2174"/>
      <c r="X592" s="2174"/>
      <c r="Y592" s="2174"/>
      <c r="Z592" s="2174"/>
      <c r="AA592" s="2174"/>
      <c r="AB592" s="2174"/>
      <c r="AC592" s="2174"/>
    </row>
    <row r="593" spans="1:29">
      <c r="A593" s="2174"/>
      <c r="B593" s="2174"/>
      <c r="C593" s="2174"/>
      <c r="D593" s="2174"/>
      <c r="E593" s="2174"/>
      <c r="F593" s="2174"/>
      <c r="G593" s="2174"/>
      <c r="H593" s="2174"/>
      <c r="I593" s="2174"/>
      <c r="J593" s="2174"/>
      <c r="K593" s="2175"/>
      <c r="L593" s="2176"/>
      <c r="M593" s="2174"/>
      <c r="N593" s="2174"/>
      <c r="O593" s="2174"/>
      <c r="P593" s="2215"/>
      <c r="Q593" s="2174"/>
      <c r="R593" s="2174"/>
      <c r="S593" s="2174"/>
      <c r="T593" s="2174"/>
      <c r="U593" s="2174"/>
      <c r="V593" s="2174"/>
      <c r="W593" s="2174"/>
      <c r="X593" s="2174"/>
      <c r="Y593" s="2174"/>
      <c r="Z593" s="2174"/>
      <c r="AA593" s="2174"/>
      <c r="AB593" s="2174"/>
      <c r="AC593" s="2174"/>
    </row>
    <row r="594" spans="1:29">
      <c r="A594" s="2174"/>
      <c r="B594" s="2174"/>
      <c r="C594" s="2174"/>
      <c r="D594" s="2174"/>
      <c r="E594" s="2174"/>
      <c r="F594" s="2174"/>
      <c r="G594" s="2174"/>
      <c r="H594" s="2174"/>
      <c r="I594" s="2174"/>
      <c r="J594" s="2174"/>
      <c r="K594" s="2175"/>
      <c r="L594" s="2176"/>
      <c r="M594" s="2174"/>
      <c r="N594" s="2174"/>
      <c r="O594" s="2174"/>
      <c r="P594" s="2215"/>
      <c r="Q594" s="2174"/>
      <c r="R594" s="2174"/>
      <c r="S594" s="2174"/>
      <c r="T594" s="2174"/>
      <c r="U594" s="2174"/>
      <c r="V594" s="2174"/>
      <c r="W594" s="2174"/>
      <c r="X594" s="2174"/>
      <c r="Y594" s="2174"/>
      <c r="Z594" s="2174"/>
      <c r="AA594" s="2174"/>
      <c r="AB594" s="2174"/>
      <c r="AC594" s="2174"/>
    </row>
    <row r="595" spans="1:29">
      <c r="A595" s="2174"/>
      <c r="B595" s="2174"/>
      <c r="C595" s="2174"/>
      <c r="D595" s="2174"/>
      <c r="E595" s="2174"/>
      <c r="F595" s="2174"/>
      <c r="G595" s="2174"/>
      <c r="H595" s="2174"/>
      <c r="I595" s="2174"/>
      <c r="J595" s="2174"/>
      <c r="K595" s="2175"/>
      <c r="L595" s="2176"/>
      <c r="M595" s="2174"/>
      <c r="N595" s="2174"/>
      <c r="O595" s="2174"/>
      <c r="P595" s="2215"/>
      <c r="Q595" s="2174"/>
      <c r="R595" s="2174"/>
      <c r="S595" s="2174"/>
      <c r="T595" s="2174"/>
      <c r="U595" s="2174"/>
      <c r="V595" s="2174"/>
      <c r="W595" s="2174"/>
      <c r="X595" s="2174"/>
      <c r="Y595" s="2174"/>
      <c r="Z595" s="2174"/>
      <c r="AA595" s="2174"/>
      <c r="AB595" s="2174"/>
      <c r="AC595" s="2174"/>
    </row>
    <row r="596" spans="1:29">
      <c r="A596" s="2174"/>
      <c r="B596" s="2174"/>
      <c r="C596" s="2174"/>
      <c r="D596" s="2174"/>
      <c r="E596" s="2174"/>
      <c r="F596" s="2174"/>
      <c r="G596" s="2174"/>
      <c r="H596" s="2174"/>
      <c r="I596" s="2174"/>
      <c r="J596" s="2174"/>
      <c r="K596" s="2175"/>
      <c r="L596" s="2176"/>
      <c r="M596" s="2174"/>
      <c r="N596" s="2174"/>
      <c r="O596" s="2174"/>
      <c r="P596" s="2215"/>
      <c r="Q596" s="2174"/>
      <c r="R596" s="2174"/>
      <c r="S596" s="2174"/>
      <c r="T596" s="2174"/>
      <c r="U596" s="2174"/>
      <c r="V596" s="2174"/>
      <c r="W596" s="2174"/>
      <c r="X596" s="2174"/>
      <c r="Y596" s="2174"/>
      <c r="Z596" s="2174"/>
      <c r="AA596" s="2174"/>
      <c r="AB596" s="2174"/>
      <c r="AC596" s="2174"/>
    </row>
    <row r="597" spans="1:29">
      <c r="A597" s="2174"/>
      <c r="B597" s="2174"/>
      <c r="C597" s="2174"/>
      <c r="D597" s="2174"/>
      <c r="E597" s="2174"/>
      <c r="F597" s="2174"/>
      <c r="G597" s="2174"/>
      <c r="H597" s="2174"/>
      <c r="I597" s="2174"/>
      <c r="J597" s="2174"/>
      <c r="K597" s="2175"/>
      <c r="L597" s="2176"/>
      <c r="M597" s="2174"/>
      <c r="N597" s="2174"/>
      <c r="O597" s="2174"/>
      <c r="P597" s="2215"/>
      <c r="Q597" s="2174"/>
      <c r="R597" s="2174"/>
      <c r="S597" s="2174"/>
      <c r="T597" s="2174"/>
      <c r="U597" s="2174"/>
      <c r="V597" s="2174"/>
      <c r="W597" s="2174"/>
      <c r="X597" s="2174"/>
      <c r="Y597" s="2174"/>
      <c r="Z597" s="2174"/>
      <c r="AA597" s="2174"/>
      <c r="AB597" s="2174"/>
      <c r="AC597" s="2174"/>
    </row>
    <row r="598" spans="1:29">
      <c r="A598" s="2174"/>
      <c r="B598" s="2174"/>
      <c r="C598" s="2174"/>
      <c r="D598" s="2174"/>
      <c r="E598" s="2174"/>
      <c r="F598" s="2174"/>
      <c r="G598" s="2174"/>
      <c r="H598" s="2174"/>
      <c r="I598" s="2174"/>
      <c r="J598" s="2174"/>
      <c r="K598" s="2175"/>
      <c r="L598" s="2176"/>
      <c r="M598" s="2174"/>
      <c r="N598" s="2174"/>
      <c r="O598" s="2174"/>
      <c r="P598" s="2215"/>
      <c r="Q598" s="2174"/>
      <c r="R598" s="2174"/>
      <c r="S598" s="2174"/>
      <c r="T598" s="2174"/>
      <c r="U598" s="2174"/>
      <c r="V598" s="2174"/>
      <c r="W598" s="2174"/>
      <c r="X598" s="2174"/>
      <c r="Y598" s="2174"/>
      <c r="Z598" s="2174"/>
      <c r="AA598" s="2174"/>
      <c r="AB598" s="2174"/>
      <c r="AC598" s="2174"/>
    </row>
    <row r="599" spans="1:29">
      <c r="A599" s="2174"/>
      <c r="B599" s="2174"/>
      <c r="C599" s="2174"/>
      <c r="D599" s="2174"/>
      <c r="E599" s="2174"/>
      <c r="F599" s="2174"/>
      <c r="G599" s="2174"/>
      <c r="H599" s="2174"/>
      <c r="I599" s="2174"/>
      <c r="J599" s="2174"/>
      <c r="K599" s="2175"/>
      <c r="L599" s="2176"/>
      <c r="M599" s="2174"/>
      <c r="N599" s="2174"/>
      <c r="O599" s="2174"/>
      <c r="P599" s="2215"/>
      <c r="Q599" s="2174"/>
      <c r="R599" s="2174"/>
      <c r="S599" s="2174"/>
      <c r="T599" s="2174"/>
      <c r="U599" s="2174"/>
      <c r="V599" s="2174"/>
      <c r="W599" s="2174"/>
      <c r="X599" s="2174"/>
      <c r="Y599" s="2174"/>
      <c r="Z599" s="2174"/>
      <c r="AA599" s="2174"/>
      <c r="AB599" s="2174"/>
      <c r="AC599" s="2174"/>
    </row>
    <row r="600" spans="1:29">
      <c r="A600" s="2174"/>
      <c r="B600" s="2174"/>
      <c r="C600" s="2174"/>
      <c r="D600" s="2174"/>
      <c r="E600" s="2174"/>
      <c r="F600" s="2174"/>
      <c r="G600" s="2174"/>
      <c r="H600" s="2174"/>
      <c r="I600" s="2174"/>
      <c r="J600" s="2174"/>
      <c r="K600" s="2175"/>
      <c r="L600" s="2176"/>
      <c r="M600" s="2174"/>
      <c r="N600" s="2174"/>
      <c r="O600" s="2174"/>
      <c r="P600" s="2215"/>
      <c r="Q600" s="2174"/>
      <c r="R600" s="2174"/>
      <c r="S600" s="2174"/>
      <c r="T600" s="2174"/>
      <c r="U600" s="2174"/>
      <c r="V600" s="2174"/>
      <c r="W600" s="2174"/>
      <c r="X600" s="2174"/>
      <c r="Y600" s="2174"/>
      <c r="Z600" s="2174"/>
      <c r="AA600" s="2174"/>
      <c r="AB600" s="2174"/>
      <c r="AC600" s="2174"/>
    </row>
    <row r="601" spans="1:29">
      <c r="A601" s="2174"/>
      <c r="B601" s="2174"/>
      <c r="C601" s="2174"/>
      <c r="D601" s="2174"/>
      <c r="E601" s="2174"/>
      <c r="F601" s="2174"/>
      <c r="G601" s="2174"/>
      <c r="H601" s="2174"/>
      <c r="I601" s="2174"/>
      <c r="J601" s="2174"/>
      <c r="K601" s="2175"/>
      <c r="L601" s="2176"/>
      <c r="M601" s="2174"/>
      <c r="N601" s="2174"/>
      <c r="O601" s="2174"/>
      <c r="P601" s="2215"/>
      <c r="Q601" s="2174"/>
      <c r="R601" s="2174"/>
      <c r="S601" s="2174"/>
      <c r="T601" s="2174"/>
      <c r="U601" s="2174"/>
      <c r="V601" s="2174"/>
      <c r="W601" s="2174"/>
      <c r="X601" s="2174"/>
      <c r="Y601" s="2174"/>
      <c r="Z601" s="2174"/>
      <c r="AA601" s="2174"/>
      <c r="AB601" s="2174"/>
      <c r="AC601" s="2174"/>
    </row>
    <row r="602" spans="1:29">
      <c r="A602" s="2174"/>
      <c r="B602" s="2174"/>
      <c r="C602" s="2174"/>
      <c r="D602" s="2174"/>
      <c r="E602" s="2174"/>
      <c r="F602" s="2174"/>
      <c r="G602" s="2174"/>
      <c r="H602" s="2174"/>
      <c r="I602" s="2174"/>
      <c r="J602" s="2174"/>
      <c r="K602" s="2175"/>
      <c r="L602" s="2176"/>
      <c r="M602" s="2174"/>
      <c r="N602" s="2174"/>
      <c r="O602" s="2174"/>
      <c r="P602" s="2215"/>
      <c r="Q602" s="2174"/>
      <c r="R602" s="2174"/>
      <c r="S602" s="2174"/>
      <c r="T602" s="2174"/>
      <c r="U602" s="2174"/>
      <c r="V602" s="2174"/>
      <c r="W602" s="2174"/>
      <c r="X602" s="2174"/>
      <c r="Y602" s="2174"/>
      <c r="Z602" s="2174"/>
      <c r="AA602" s="2174"/>
      <c r="AB602" s="2174"/>
      <c r="AC602" s="2174"/>
    </row>
    <row r="603" spans="1:29">
      <c r="A603" s="2174"/>
      <c r="B603" s="2174"/>
      <c r="C603" s="2174"/>
      <c r="D603" s="2174"/>
      <c r="E603" s="2174"/>
      <c r="F603" s="2174"/>
      <c r="G603" s="2174"/>
      <c r="H603" s="2174"/>
      <c r="I603" s="2174"/>
      <c r="J603" s="2174"/>
      <c r="K603" s="2175"/>
      <c r="L603" s="2176"/>
      <c r="M603" s="2174"/>
      <c r="N603" s="2174"/>
      <c r="O603" s="2174"/>
      <c r="P603" s="2215"/>
      <c r="Q603" s="2174"/>
      <c r="R603" s="2174"/>
      <c r="S603" s="2174"/>
      <c r="T603" s="2174"/>
      <c r="U603" s="2174"/>
      <c r="V603" s="2174"/>
      <c r="W603" s="2174"/>
      <c r="X603" s="2174"/>
      <c r="Y603" s="2174"/>
      <c r="Z603" s="2174"/>
      <c r="AA603" s="2174"/>
      <c r="AB603" s="2174"/>
      <c r="AC603" s="2174"/>
    </row>
    <row r="604" spans="1:29">
      <c r="A604" s="2174"/>
      <c r="B604" s="2174"/>
      <c r="C604" s="2174"/>
      <c r="D604" s="2174"/>
      <c r="E604" s="2174"/>
      <c r="F604" s="2174"/>
      <c r="G604" s="2174"/>
      <c r="H604" s="2174"/>
      <c r="I604" s="2174"/>
      <c r="J604" s="2174"/>
      <c r="K604" s="2175"/>
      <c r="L604" s="2176"/>
      <c r="M604" s="2174"/>
      <c r="N604" s="2174"/>
      <c r="O604" s="2174"/>
      <c r="P604" s="2215"/>
      <c r="Q604" s="2174"/>
      <c r="R604" s="2174"/>
      <c r="S604" s="2174"/>
      <c r="T604" s="2174"/>
      <c r="U604" s="2174"/>
      <c r="V604" s="2174"/>
      <c r="W604" s="2174"/>
      <c r="X604" s="2174"/>
      <c r="Y604" s="2174"/>
      <c r="Z604" s="2174"/>
      <c r="AA604" s="2174"/>
      <c r="AB604" s="2174"/>
      <c r="AC604" s="2174"/>
    </row>
    <row r="605" spans="1:29">
      <c r="A605" s="2174"/>
      <c r="B605" s="2174"/>
      <c r="C605" s="2174"/>
      <c r="D605" s="2174"/>
      <c r="E605" s="2174"/>
      <c r="F605" s="2174"/>
      <c r="G605" s="2174"/>
      <c r="H605" s="2174"/>
      <c r="I605" s="2174"/>
      <c r="J605" s="2174"/>
      <c r="K605" s="2175"/>
      <c r="L605" s="2176"/>
      <c r="M605" s="2174"/>
      <c r="N605" s="2174"/>
      <c r="O605" s="2174"/>
      <c r="P605" s="2215"/>
      <c r="Q605" s="2174"/>
      <c r="R605" s="2174"/>
      <c r="S605" s="2174"/>
      <c r="T605" s="2174"/>
      <c r="U605" s="2174"/>
      <c r="V605" s="2174"/>
      <c r="W605" s="2174"/>
      <c r="X605" s="2174"/>
      <c r="Y605" s="2174"/>
      <c r="Z605" s="2174"/>
      <c r="AA605" s="2174"/>
      <c r="AB605" s="2174"/>
      <c r="AC605" s="2174"/>
    </row>
    <row r="606" spans="1:29">
      <c r="A606" s="2174"/>
      <c r="B606" s="2174"/>
      <c r="C606" s="2174"/>
      <c r="D606" s="2174"/>
      <c r="E606" s="2174"/>
      <c r="F606" s="2174"/>
      <c r="G606" s="2174"/>
      <c r="H606" s="2174"/>
      <c r="I606" s="2174"/>
      <c r="J606" s="2174"/>
      <c r="K606" s="2175"/>
      <c r="L606" s="2176"/>
      <c r="M606" s="2174"/>
      <c r="N606" s="2174"/>
      <c r="O606" s="2174"/>
      <c r="P606" s="2215"/>
      <c r="Q606" s="2174"/>
      <c r="R606" s="2174"/>
      <c r="S606" s="2174"/>
      <c r="T606" s="2174"/>
      <c r="U606" s="2174"/>
      <c r="V606" s="2174"/>
      <c r="W606" s="2174"/>
      <c r="X606" s="2174"/>
      <c r="Y606" s="2174"/>
      <c r="Z606" s="2174"/>
      <c r="AA606" s="2174"/>
      <c r="AB606" s="2174"/>
      <c r="AC606" s="2174"/>
    </row>
    <row r="607" spans="1:29">
      <c r="A607" s="2174"/>
      <c r="B607" s="2174"/>
      <c r="C607" s="2174"/>
      <c r="D607" s="2174"/>
      <c r="E607" s="2174"/>
      <c r="F607" s="2174"/>
      <c r="G607" s="2174"/>
      <c r="H607" s="2174"/>
      <c r="I607" s="2174"/>
      <c r="J607" s="2174"/>
      <c r="K607" s="2175"/>
      <c r="L607" s="2176"/>
      <c r="M607" s="2174"/>
      <c r="N607" s="2174"/>
      <c r="O607" s="2174"/>
      <c r="P607" s="2215"/>
      <c r="Q607" s="2174"/>
      <c r="R607" s="2174"/>
      <c r="S607" s="2174"/>
      <c r="T607" s="2174"/>
      <c r="U607" s="2174"/>
      <c r="V607" s="2174"/>
      <c r="W607" s="2174"/>
      <c r="X607" s="2174"/>
      <c r="Y607" s="2174"/>
      <c r="Z607" s="2174"/>
      <c r="AA607" s="2174"/>
      <c r="AB607" s="2174"/>
      <c r="AC607" s="2174"/>
    </row>
    <row r="608" spans="1:29">
      <c r="A608" s="2174"/>
      <c r="B608" s="2174"/>
      <c r="C608" s="2174"/>
      <c r="D608" s="2174"/>
      <c r="E608" s="2174"/>
      <c r="F608" s="2174"/>
      <c r="G608" s="2174"/>
      <c r="H608" s="2174"/>
      <c r="I608" s="2174"/>
      <c r="J608" s="2174"/>
      <c r="K608" s="2175"/>
      <c r="L608" s="2176"/>
      <c r="M608" s="2174"/>
      <c r="N608" s="2174"/>
      <c r="O608" s="2174"/>
      <c r="P608" s="2215"/>
      <c r="Q608" s="2174"/>
      <c r="R608" s="2174"/>
      <c r="S608" s="2174"/>
      <c r="T608" s="2174"/>
      <c r="U608" s="2174"/>
      <c r="V608" s="2174"/>
      <c r="W608" s="2174"/>
      <c r="X608" s="2174"/>
      <c r="Y608" s="2174"/>
      <c r="Z608" s="2174"/>
      <c r="AA608" s="2174"/>
      <c r="AB608" s="2174"/>
      <c r="AC608" s="2174"/>
    </row>
    <row r="609" spans="1:29">
      <c r="A609" s="2174"/>
      <c r="B609" s="2174"/>
      <c r="C609" s="2174"/>
      <c r="D609" s="2174"/>
      <c r="E609" s="2174"/>
      <c r="F609" s="2174"/>
      <c r="G609" s="2174"/>
      <c r="H609" s="2174"/>
      <c r="I609" s="2174"/>
      <c r="J609" s="2174"/>
      <c r="K609" s="2175"/>
      <c r="L609" s="2176"/>
      <c r="M609" s="2174"/>
      <c r="N609" s="2174"/>
      <c r="O609" s="2174"/>
      <c r="P609" s="2215"/>
      <c r="Q609" s="2174"/>
      <c r="R609" s="2174"/>
      <c r="S609" s="2174"/>
      <c r="T609" s="2174"/>
      <c r="U609" s="2174"/>
      <c r="V609" s="2174"/>
      <c r="W609" s="2174"/>
      <c r="X609" s="2174"/>
      <c r="Y609" s="2174"/>
      <c r="Z609" s="2174"/>
      <c r="AA609" s="2174"/>
      <c r="AB609" s="2174"/>
      <c r="AC609" s="2174"/>
    </row>
    <row r="610" spans="1:29">
      <c r="A610" s="2174"/>
      <c r="B610" s="2174"/>
      <c r="C610" s="2174"/>
      <c r="D610" s="2174"/>
      <c r="E610" s="2174"/>
      <c r="F610" s="2174"/>
      <c r="G610" s="2174"/>
      <c r="H610" s="2174"/>
      <c r="I610" s="2174"/>
      <c r="J610" s="2174"/>
      <c r="K610" s="2175"/>
      <c r="L610" s="2176"/>
      <c r="M610" s="2174"/>
      <c r="N610" s="2174"/>
      <c r="O610" s="2174"/>
      <c r="P610" s="2215"/>
      <c r="Q610" s="2174"/>
      <c r="R610" s="2174"/>
      <c r="S610" s="2174"/>
      <c r="T610" s="2174"/>
      <c r="U610" s="2174"/>
      <c r="V610" s="2174"/>
      <c r="W610" s="2174"/>
      <c r="X610" s="2174"/>
      <c r="Y610" s="2174"/>
      <c r="Z610" s="2174"/>
      <c r="AA610" s="2174"/>
      <c r="AB610" s="2174"/>
      <c r="AC610" s="2174"/>
    </row>
    <row r="611" spans="1:29">
      <c r="A611" s="2174"/>
      <c r="B611" s="2174"/>
      <c r="C611" s="2174"/>
      <c r="D611" s="2174"/>
      <c r="E611" s="2174"/>
      <c r="F611" s="2174"/>
      <c r="G611" s="2174"/>
      <c r="H611" s="2174"/>
      <c r="I611" s="2174"/>
      <c r="J611" s="2174"/>
      <c r="K611" s="2175"/>
      <c r="L611" s="2176"/>
      <c r="M611" s="2174"/>
      <c r="N611" s="2174"/>
      <c r="O611" s="2174"/>
      <c r="P611" s="2215"/>
      <c r="Q611" s="2174"/>
      <c r="R611" s="2174"/>
      <c r="S611" s="2174"/>
      <c r="T611" s="2174"/>
      <c r="U611" s="2174"/>
      <c r="V611" s="2174"/>
      <c r="W611" s="2174"/>
      <c r="X611" s="2174"/>
      <c r="Y611" s="2174"/>
      <c r="Z611" s="2174"/>
      <c r="AA611" s="2174"/>
      <c r="AB611" s="2174"/>
      <c r="AC611" s="2174"/>
    </row>
    <row r="612" spans="1:29">
      <c r="A612" s="2174"/>
      <c r="B612" s="2174"/>
      <c r="C612" s="2174"/>
      <c r="D612" s="2174"/>
      <c r="E612" s="2174"/>
      <c r="F612" s="2174"/>
      <c r="G612" s="2174"/>
      <c r="H612" s="2174"/>
      <c r="I612" s="2174"/>
      <c r="J612" s="2174"/>
      <c r="K612" s="2175"/>
      <c r="L612" s="2176"/>
      <c r="M612" s="2174"/>
      <c r="N612" s="2174"/>
      <c r="O612" s="2174"/>
      <c r="P612" s="2215"/>
      <c r="Q612" s="2174"/>
      <c r="R612" s="2174"/>
      <c r="S612" s="2174"/>
      <c r="T612" s="2174"/>
      <c r="U612" s="2174"/>
      <c r="V612" s="2174"/>
      <c r="W612" s="2174"/>
      <c r="X612" s="2174"/>
      <c r="Y612" s="2174"/>
      <c r="Z612" s="2174"/>
      <c r="AA612" s="2174"/>
      <c r="AB612" s="2174"/>
      <c r="AC612" s="2174"/>
    </row>
    <row r="613" spans="1:29">
      <c r="A613" s="2174"/>
      <c r="B613" s="2174"/>
      <c r="C613" s="2174"/>
      <c r="D613" s="2174"/>
      <c r="E613" s="2174"/>
      <c r="F613" s="2174"/>
      <c r="G613" s="2174"/>
      <c r="H613" s="2174"/>
      <c r="I613" s="2174"/>
      <c r="J613" s="2174"/>
      <c r="K613" s="2175"/>
      <c r="L613" s="2176"/>
      <c r="M613" s="2174"/>
      <c r="N613" s="2174"/>
      <c r="O613" s="2174"/>
      <c r="P613" s="2215"/>
      <c r="Q613" s="2174"/>
      <c r="R613" s="2174"/>
      <c r="S613" s="2174"/>
      <c r="T613" s="2174"/>
      <c r="U613" s="2174"/>
      <c r="V613" s="2174"/>
      <c r="W613" s="2174"/>
      <c r="X613" s="2174"/>
      <c r="Y613" s="2174"/>
      <c r="Z613" s="2174"/>
      <c r="AA613" s="2174"/>
      <c r="AB613" s="2174"/>
      <c r="AC613" s="2174"/>
    </row>
    <row r="614" spans="1:29">
      <c r="A614" s="2174"/>
      <c r="B614" s="2174"/>
      <c r="C614" s="2174"/>
      <c r="D614" s="2174"/>
      <c r="E614" s="2174"/>
      <c r="F614" s="2174"/>
      <c r="G614" s="2174"/>
      <c r="H614" s="2174"/>
      <c r="I614" s="2174"/>
      <c r="J614" s="2174"/>
      <c r="K614" s="2175"/>
      <c r="L614" s="2176"/>
      <c r="M614" s="2174"/>
      <c r="N614" s="2174"/>
      <c r="O614" s="2174"/>
      <c r="P614" s="2215"/>
      <c r="Q614" s="2174"/>
      <c r="R614" s="2174"/>
      <c r="S614" s="2174"/>
      <c r="T614" s="2174"/>
      <c r="U614" s="2174"/>
      <c r="V614" s="2174"/>
      <c r="W614" s="2174"/>
      <c r="X614" s="2174"/>
      <c r="Y614" s="2174"/>
      <c r="Z614" s="2174"/>
      <c r="AA614" s="2174"/>
      <c r="AB614" s="2174"/>
      <c r="AC614" s="2174"/>
    </row>
    <row r="615" spans="1:29">
      <c r="A615" s="2174"/>
      <c r="B615" s="2174"/>
      <c r="C615" s="2174"/>
      <c r="D615" s="2174"/>
      <c r="E615" s="2174"/>
      <c r="F615" s="2174"/>
      <c r="G615" s="2174"/>
      <c r="H615" s="2174"/>
      <c r="I615" s="2174"/>
      <c r="J615" s="2174"/>
      <c r="K615" s="2175"/>
      <c r="L615" s="2176"/>
      <c r="M615" s="2174"/>
      <c r="N615" s="2174"/>
      <c r="O615" s="2174"/>
      <c r="P615" s="2215"/>
      <c r="Q615" s="2174"/>
      <c r="R615" s="2174"/>
      <c r="S615" s="2174"/>
      <c r="T615" s="2174"/>
      <c r="U615" s="2174"/>
      <c r="V615" s="2174"/>
      <c r="W615" s="2174"/>
      <c r="X615" s="2174"/>
      <c r="Y615" s="2174"/>
      <c r="Z615" s="2174"/>
      <c r="AA615" s="2174"/>
      <c r="AB615" s="2174"/>
      <c r="AC615" s="2174"/>
    </row>
    <row r="616" spans="1:29">
      <c r="A616" s="2174"/>
      <c r="B616" s="2174"/>
      <c r="C616" s="2174"/>
      <c r="D616" s="2174"/>
      <c r="E616" s="2174"/>
      <c r="F616" s="2174"/>
      <c r="G616" s="2174"/>
      <c r="H616" s="2174"/>
      <c r="I616" s="2174"/>
      <c r="J616" s="2174"/>
      <c r="K616" s="2175"/>
      <c r="L616" s="2176"/>
      <c r="M616" s="2174"/>
      <c r="N616" s="2174"/>
      <c r="O616" s="2174"/>
      <c r="P616" s="2215"/>
      <c r="Q616" s="2174"/>
      <c r="R616" s="2174"/>
      <c r="S616" s="2174"/>
      <c r="T616" s="2174"/>
      <c r="U616" s="2174"/>
      <c r="V616" s="2174"/>
      <c r="W616" s="2174"/>
      <c r="X616" s="2174"/>
      <c r="Y616" s="2174"/>
      <c r="Z616" s="2174"/>
      <c r="AA616" s="2174"/>
      <c r="AB616" s="2174"/>
      <c r="AC616" s="2174"/>
    </row>
    <row r="617" spans="1:29">
      <c r="A617" s="2174"/>
      <c r="B617" s="2174"/>
      <c r="C617" s="2174"/>
      <c r="D617" s="2174"/>
      <c r="E617" s="2174"/>
      <c r="F617" s="2174"/>
      <c r="G617" s="2174"/>
      <c r="H617" s="2174"/>
      <c r="I617" s="2174"/>
      <c r="J617" s="2174"/>
      <c r="K617" s="2175"/>
      <c r="L617" s="2176"/>
      <c r="M617" s="2174"/>
      <c r="N617" s="2174"/>
      <c r="O617" s="2174"/>
      <c r="P617" s="2215"/>
      <c r="Q617" s="2174"/>
      <c r="R617" s="2174"/>
      <c r="S617" s="2174"/>
      <c r="T617" s="2174"/>
      <c r="U617" s="2174"/>
      <c r="V617" s="2174"/>
      <c r="W617" s="2174"/>
      <c r="X617" s="2174"/>
      <c r="Y617" s="2174"/>
      <c r="Z617" s="2174"/>
      <c r="AA617" s="2174"/>
      <c r="AB617" s="2174"/>
      <c r="AC617" s="2174"/>
    </row>
    <row r="618" spans="1:29">
      <c r="A618" s="2174"/>
      <c r="B618" s="2174"/>
      <c r="C618" s="2174"/>
      <c r="D618" s="2174"/>
      <c r="E618" s="2174"/>
      <c r="F618" s="2174"/>
      <c r="G618" s="2174"/>
      <c r="H618" s="2174"/>
      <c r="I618" s="2174"/>
      <c r="J618" s="2174"/>
      <c r="K618" s="2175"/>
      <c r="L618" s="2176"/>
      <c r="M618" s="2174"/>
      <c r="N618" s="2174"/>
      <c r="O618" s="2174"/>
      <c r="P618" s="2215"/>
      <c r="Q618" s="2174"/>
      <c r="R618" s="2174"/>
      <c r="S618" s="2174"/>
      <c r="T618" s="2174"/>
      <c r="U618" s="2174"/>
      <c r="V618" s="2174"/>
      <c r="W618" s="2174"/>
      <c r="X618" s="2174"/>
      <c r="Y618" s="2174"/>
      <c r="Z618" s="2174"/>
      <c r="AA618" s="2174"/>
      <c r="AB618" s="2174"/>
      <c r="AC618" s="2174"/>
    </row>
    <row r="619" spans="1:29">
      <c r="A619" s="2174"/>
      <c r="B619" s="2174"/>
      <c r="C619" s="2174"/>
      <c r="D619" s="2174"/>
      <c r="E619" s="2174"/>
      <c r="F619" s="2174"/>
      <c r="G619" s="2174"/>
      <c r="H619" s="2174"/>
      <c r="I619" s="2174"/>
      <c r="J619" s="2174"/>
      <c r="K619" s="2175"/>
      <c r="L619" s="2176"/>
      <c r="M619" s="2174"/>
      <c r="N619" s="2174"/>
      <c r="O619" s="2174"/>
      <c r="P619" s="2215"/>
      <c r="Q619" s="2174"/>
      <c r="R619" s="2174"/>
      <c r="S619" s="2174"/>
      <c r="T619" s="2174"/>
      <c r="U619" s="2174"/>
      <c r="V619" s="2174"/>
      <c r="W619" s="2174"/>
      <c r="X619" s="2174"/>
      <c r="Y619" s="2174"/>
      <c r="Z619" s="2174"/>
      <c r="AA619" s="2174"/>
      <c r="AB619" s="2174"/>
      <c r="AC619" s="2174"/>
    </row>
    <row r="620" spans="1:29">
      <c r="A620" s="2174"/>
      <c r="B620" s="2174"/>
      <c r="C620" s="2174"/>
      <c r="D620" s="2174"/>
      <c r="E620" s="2174"/>
      <c r="F620" s="2174"/>
      <c r="G620" s="2174"/>
      <c r="H620" s="2174"/>
      <c r="I620" s="2174"/>
      <c r="J620" s="2174"/>
      <c r="K620" s="2175"/>
      <c r="L620" s="2176"/>
      <c r="M620" s="2174"/>
      <c r="N620" s="2174"/>
      <c r="O620" s="2174"/>
      <c r="P620" s="2215"/>
      <c r="Q620" s="2174"/>
      <c r="R620" s="2174"/>
      <c r="S620" s="2174"/>
      <c r="T620" s="2174"/>
      <c r="U620" s="2174"/>
      <c r="V620" s="2174"/>
      <c r="W620" s="2174"/>
      <c r="X620" s="2174"/>
      <c r="Y620" s="2174"/>
      <c r="Z620" s="2174"/>
      <c r="AA620" s="2174"/>
      <c r="AB620" s="2174"/>
      <c r="AC620" s="2174"/>
    </row>
    <row r="621" spans="1:29">
      <c r="A621" s="2174"/>
      <c r="B621" s="2174"/>
      <c r="C621" s="2174"/>
      <c r="D621" s="2174"/>
      <c r="E621" s="2174"/>
      <c r="F621" s="2174"/>
      <c r="G621" s="2174"/>
      <c r="H621" s="2174"/>
      <c r="I621" s="2174"/>
      <c r="J621" s="2174"/>
      <c r="K621" s="2175"/>
      <c r="L621" s="2176"/>
      <c r="M621" s="2174"/>
      <c r="N621" s="2174"/>
      <c r="O621" s="2174"/>
      <c r="P621" s="2215"/>
      <c r="Q621" s="2174"/>
      <c r="R621" s="2174"/>
      <c r="S621" s="2174"/>
      <c r="T621" s="2174"/>
      <c r="U621" s="2174"/>
      <c r="V621" s="2174"/>
      <c r="W621" s="2174"/>
      <c r="X621" s="2174"/>
      <c r="Y621" s="2174"/>
      <c r="Z621" s="2174"/>
      <c r="AA621" s="2174"/>
      <c r="AB621" s="2174"/>
      <c r="AC621" s="2174"/>
    </row>
    <row r="622" spans="1:29">
      <c r="A622" s="2174"/>
      <c r="B622" s="2174"/>
      <c r="C622" s="2174"/>
      <c r="D622" s="2174"/>
      <c r="E622" s="2174"/>
      <c r="F622" s="2174"/>
      <c r="G622" s="2174"/>
      <c r="H622" s="2174"/>
      <c r="I622" s="2174"/>
      <c r="J622" s="2174"/>
      <c r="K622" s="2175"/>
      <c r="L622" s="2176"/>
      <c r="M622" s="2174"/>
      <c r="N622" s="2174"/>
      <c r="O622" s="2174"/>
      <c r="P622" s="2215"/>
      <c r="Q622" s="2174"/>
      <c r="R622" s="2174"/>
      <c r="S622" s="2174"/>
      <c r="T622" s="2174"/>
      <c r="U622" s="2174"/>
      <c r="V622" s="2174"/>
      <c r="W622" s="2174"/>
      <c r="X622" s="2174"/>
      <c r="Y622" s="2174"/>
      <c r="Z622" s="2174"/>
      <c r="AA622" s="2174"/>
      <c r="AB622" s="2174"/>
      <c r="AC622" s="2174"/>
    </row>
    <row r="623" spans="1:29">
      <c r="A623" s="2174"/>
      <c r="B623" s="2174"/>
      <c r="C623" s="2174"/>
      <c r="D623" s="2174"/>
      <c r="E623" s="2174"/>
      <c r="F623" s="2174"/>
      <c r="G623" s="2174"/>
      <c r="H623" s="2174"/>
      <c r="I623" s="2174"/>
      <c r="J623" s="2174"/>
      <c r="K623" s="2175"/>
      <c r="L623" s="2176"/>
      <c r="M623" s="2174"/>
      <c r="N623" s="2174"/>
      <c r="O623" s="2174"/>
      <c r="P623" s="2215"/>
      <c r="Q623" s="2174"/>
      <c r="R623" s="2174"/>
      <c r="S623" s="2174"/>
      <c r="T623" s="2174"/>
      <c r="U623" s="2174"/>
      <c r="V623" s="2174"/>
      <c r="W623" s="2174"/>
      <c r="X623" s="2174"/>
      <c r="Y623" s="2174"/>
      <c r="Z623" s="2174"/>
      <c r="AA623" s="2174"/>
      <c r="AB623" s="2174"/>
      <c r="AC623" s="2174"/>
    </row>
    <row r="624" spans="1:29">
      <c r="A624" s="2174"/>
      <c r="B624" s="2174"/>
      <c r="C624" s="2174"/>
      <c r="D624" s="2174"/>
      <c r="E624" s="2174"/>
      <c r="F624" s="2174"/>
      <c r="G624" s="2174"/>
      <c r="H624" s="2174"/>
      <c r="I624" s="2174"/>
      <c r="J624" s="2174"/>
      <c r="K624" s="2175"/>
      <c r="L624" s="2176"/>
      <c r="M624" s="2174"/>
      <c r="N624" s="2174"/>
      <c r="O624" s="2174"/>
      <c r="P624" s="2215"/>
      <c r="Q624" s="2174"/>
      <c r="R624" s="2174"/>
      <c r="S624" s="2174"/>
      <c r="T624" s="2174"/>
      <c r="U624" s="2174"/>
      <c r="V624" s="2174"/>
      <c r="W624" s="2174"/>
      <c r="X624" s="2174"/>
      <c r="Y624" s="2174"/>
      <c r="Z624" s="2174"/>
      <c r="AA624" s="2174"/>
      <c r="AB624" s="2174"/>
      <c r="AC624" s="2174"/>
    </row>
    <row r="625" spans="1:29">
      <c r="A625" s="2174"/>
      <c r="B625" s="2174"/>
      <c r="C625" s="2174"/>
      <c r="D625" s="2174"/>
      <c r="E625" s="2174"/>
      <c r="F625" s="2174"/>
      <c r="G625" s="2174"/>
      <c r="H625" s="2174"/>
      <c r="I625" s="2174"/>
      <c r="J625" s="2174"/>
      <c r="K625" s="2175"/>
      <c r="L625" s="2176"/>
      <c r="M625" s="2174"/>
      <c r="N625" s="2174"/>
      <c r="O625" s="2174"/>
      <c r="P625" s="2215"/>
      <c r="Q625" s="2174"/>
      <c r="R625" s="2174"/>
      <c r="S625" s="2174"/>
      <c r="T625" s="2174"/>
      <c r="U625" s="2174"/>
      <c r="V625" s="2174"/>
      <c r="W625" s="2174"/>
      <c r="X625" s="2174"/>
      <c r="Y625" s="2174"/>
      <c r="Z625" s="2174"/>
      <c r="AA625" s="2174"/>
      <c r="AB625" s="2174"/>
      <c r="AC625" s="2174"/>
    </row>
    <row r="626" spans="1:29">
      <c r="A626" s="2174"/>
      <c r="B626" s="2174"/>
      <c r="C626" s="2174"/>
      <c r="D626" s="2174"/>
      <c r="E626" s="2174"/>
      <c r="F626" s="2174"/>
      <c r="G626" s="2174"/>
      <c r="H626" s="2174"/>
      <c r="I626" s="2174"/>
      <c r="J626" s="2174"/>
      <c r="K626" s="2175"/>
      <c r="L626" s="2176"/>
      <c r="M626" s="2174"/>
      <c r="N626" s="2174"/>
      <c r="O626" s="2174"/>
      <c r="P626" s="2215"/>
      <c r="Q626" s="2174"/>
      <c r="R626" s="2174"/>
      <c r="S626" s="2174"/>
      <c r="T626" s="2174"/>
      <c r="U626" s="2174"/>
      <c r="V626" s="2174"/>
      <c r="W626" s="2174"/>
      <c r="X626" s="2174"/>
      <c r="Y626" s="2174"/>
      <c r="Z626" s="2174"/>
      <c r="AA626" s="2174"/>
      <c r="AB626" s="2174"/>
      <c r="AC626" s="2174"/>
    </row>
    <row r="627" spans="1:29">
      <c r="A627" s="2174"/>
      <c r="B627" s="2174"/>
      <c r="C627" s="2174"/>
      <c r="D627" s="2174"/>
      <c r="E627" s="2174"/>
      <c r="F627" s="2174"/>
      <c r="G627" s="2174"/>
      <c r="H627" s="2174"/>
      <c r="I627" s="2174"/>
      <c r="J627" s="2174"/>
      <c r="K627" s="2175"/>
      <c r="L627" s="2176"/>
      <c r="M627" s="2174"/>
      <c r="N627" s="2174"/>
      <c r="O627" s="2174"/>
      <c r="P627" s="2215"/>
      <c r="Q627" s="2174"/>
      <c r="R627" s="2174"/>
      <c r="S627" s="2174"/>
      <c r="T627" s="2174"/>
      <c r="U627" s="2174"/>
      <c r="V627" s="2174"/>
      <c r="W627" s="2174"/>
      <c r="X627" s="2174"/>
      <c r="Y627" s="2174"/>
      <c r="Z627" s="2174"/>
      <c r="AA627" s="2174"/>
      <c r="AB627" s="2174"/>
      <c r="AC627" s="2174"/>
    </row>
    <row r="628" spans="1:29">
      <c r="A628" s="2174"/>
      <c r="B628" s="2174"/>
      <c r="C628" s="2174"/>
      <c r="D628" s="2174"/>
      <c r="E628" s="2174"/>
      <c r="F628" s="2174"/>
      <c r="G628" s="2174"/>
      <c r="H628" s="2174"/>
      <c r="I628" s="2174"/>
      <c r="J628" s="2174"/>
      <c r="K628" s="2175"/>
      <c r="L628" s="2176"/>
      <c r="M628" s="2174"/>
      <c r="N628" s="2174"/>
      <c r="O628" s="2174"/>
      <c r="P628" s="2215"/>
      <c r="Q628" s="2174"/>
      <c r="R628" s="2174"/>
      <c r="S628" s="2174"/>
      <c r="T628" s="2174"/>
      <c r="U628" s="2174"/>
      <c r="V628" s="2174"/>
      <c r="W628" s="2174"/>
      <c r="X628" s="2174"/>
      <c r="Y628" s="2174"/>
      <c r="Z628" s="2174"/>
      <c r="AA628" s="2174"/>
      <c r="AB628" s="2174"/>
      <c r="AC628" s="2174"/>
    </row>
    <row r="629" spans="1:29">
      <c r="A629" s="2174"/>
      <c r="B629" s="2174"/>
      <c r="C629" s="2174"/>
      <c r="D629" s="2174"/>
      <c r="E629" s="2174"/>
      <c r="F629" s="2174"/>
      <c r="G629" s="2174"/>
      <c r="H629" s="2174"/>
      <c r="I629" s="2174"/>
      <c r="J629" s="2174"/>
      <c r="K629" s="2175"/>
      <c r="L629" s="2176"/>
      <c r="M629" s="2174"/>
      <c r="N629" s="2174"/>
      <c r="O629" s="2174"/>
      <c r="P629" s="2215"/>
      <c r="Q629" s="2174"/>
      <c r="R629" s="2174"/>
      <c r="S629" s="2174"/>
      <c r="T629" s="2174"/>
      <c r="U629" s="2174"/>
      <c r="V629" s="2174"/>
      <c r="W629" s="2174"/>
      <c r="X629" s="2174"/>
      <c r="Y629" s="2174"/>
      <c r="Z629" s="2174"/>
      <c r="AA629" s="2174"/>
      <c r="AB629" s="2174"/>
      <c r="AC629" s="2174"/>
    </row>
    <row r="630" spans="1:29">
      <c r="A630" s="2174"/>
      <c r="B630" s="2174"/>
      <c r="C630" s="2174"/>
      <c r="D630" s="2174"/>
      <c r="E630" s="2174"/>
      <c r="F630" s="2174"/>
      <c r="G630" s="2174"/>
      <c r="H630" s="2174"/>
      <c r="I630" s="2174"/>
      <c r="J630" s="2174"/>
      <c r="K630" s="2175"/>
      <c r="L630" s="2176"/>
      <c r="M630" s="2174"/>
      <c r="N630" s="2174"/>
      <c r="O630" s="2174"/>
      <c r="P630" s="2215"/>
      <c r="Q630" s="2174"/>
      <c r="R630" s="2174"/>
      <c r="S630" s="2174"/>
      <c r="T630" s="2174"/>
      <c r="U630" s="2174"/>
      <c r="V630" s="2174"/>
      <c r="W630" s="2174"/>
      <c r="X630" s="2174"/>
      <c r="Y630" s="2174"/>
      <c r="Z630" s="2174"/>
      <c r="AA630" s="2174"/>
      <c r="AB630" s="2174"/>
      <c r="AC630" s="2174"/>
    </row>
    <row r="631" spans="1:29">
      <c r="A631" s="2174"/>
      <c r="B631" s="2174"/>
      <c r="C631" s="2174"/>
      <c r="D631" s="2174"/>
      <c r="E631" s="2174"/>
      <c r="F631" s="2174"/>
      <c r="G631" s="2174"/>
      <c r="H631" s="2174"/>
      <c r="I631" s="2174"/>
      <c r="J631" s="2174"/>
      <c r="K631" s="2175"/>
      <c r="L631" s="2176"/>
      <c r="M631" s="2174"/>
      <c r="N631" s="2174"/>
      <c r="O631" s="2174"/>
      <c r="P631" s="2215"/>
      <c r="Q631" s="2174"/>
      <c r="R631" s="2174"/>
      <c r="S631" s="2174"/>
      <c r="T631" s="2174"/>
      <c r="U631" s="2174"/>
      <c r="V631" s="2174"/>
      <c r="W631" s="2174"/>
      <c r="X631" s="2174"/>
      <c r="Y631" s="2174"/>
      <c r="Z631" s="2174"/>
      <c r="AA631" s="2174"/>
      <c r="AB631" s="2174"/>
      <c r="AC631" s="2174"/>
    </row>
    <row r="632" spans="1:29">
      <c r="A632" s="2174"/>
      <c r="B632" s="2174"/>
      <c r="C632" s="2174"/>
      <c r="D632" s="2174"/>
      <c r="E632" s="2174"/>
      <c r="F632" s="2174"/>
      <c r="G632" s="2174"/>
      <c r="H632" s="2174"/>
      <c r="I632" s="2174"/>
      <c r="J632" s="2174"/>
      <c r="K632" s="2175"/>
      <c r="L632" s="2176"/>
      <c r="M632" s="2174"/>
      <c r="N632" s="2174"/>
      <c r="O632" s="2174"/>
      <c r="P632" s="2215"/>
      <c r="Q632" s="2174"/>
      <c r="R632" s="2174"/>
      <c r="S632" s="2174"/>
      <c r="T632" s="2174"/>
      <c r="U632" s="2174"/>
      <c r="V632" s="2174"/>
      <c r="W632" s="2174"/>
      <c r="X632" s="2174"/>
      <c r="Y632" s="2174"/>
      <c r="Z632" s="2174"/>
      <c r="AA632" s="2174"/>
      <c r="AB632" s="2174"/>
      <c r="AC632" s="2174"/>
    </row>
    <row r="633" spans="1:29">
      <c r="A633" s="2174"/>
      <c r="B633" s="2174"/>
      <c r="C633" s="2174"/>
      <c r="D633" s="2174"/>
      <c r="E633" s="2174"/>
      <c r="F633" s="2174"/>
      <c r="G633" s="2174"/>
      <c r="H633" s="2174"/>
      <c r="I633" s="2174"/>
      <c r="J633" s="2174"/>
      <c r="K633" s="2175"/>
      <c r="L633" s="2176"/>
      <c r="M633" s="2174"/>
      <c r="N633" s="2174"/>
      <c r="O633" s="2174"/>
      <c r="P633" s="2215"/>
      <c r="Q633" s="2174"/>
      <c r="R633" s="2174"/>
      <c r="S633" s="2174"/>
      <c r="T633" s="2174"/>
      <c r="U633" s="2174"/>
      <c r="V633" s="2174"/>
      <c r="W633" s="2174"/>
      <c r="X633" s="2174"/>
      <c r="Y633" s="2174"/>
      <c r="Z633" s="2174"/>
      <c r="AA633" s="2174"/>
      <c r="AB633" s="2174"/>
      <c r="AC633" s="2174"/>
    </row>
    <row r="634" spans="1:29">
      <c r="A634" s="2174"/>
      <c r="B634" s="2174"/>
      <c r="C634" s="2174"/>
      <c r="D634" s="2174"/>
      <c r="E634" s="2174"/>
      <c r="F634" s="2174"/>
      <c r="G634" s="2174"/>
      <c r="H634" s="2174"/>
      <c r="I634" s="2174"/>
      <c r="J634" s="2174"/>
      <c r="K634" s="2175"/>
      <c r="L634" s="2176"/>
      <c r="M634" s="2174"/>
      <c r="N634" s="2174"/>
      <c r="O634" s="2174"/>
      <c r="P634" s="2215"/>
      <c r="Q634" s="2174"/>
      <c r="R634" s="2174"/>
      <c r="S634" s="2174"/>
      <c r="T634" s="2174"/>
      <c r="U634" s="2174"/>
      <c r="V634" s="2174"/>
      <c r="W634" s="2174"/>
      <c r="X634" s="2174"/>
      <c r="Y634" s="2174"/>
      <c r="Z634" s="2174"/>
      <c r="AA634" s="2174"/>
      <c r="AB634" s="2174"/>
      <c r="AC634" s="2174"/>
    </row>
    <row r="635" spans="1:29">
      <c r="A635" s="2174"/>
      <c r="B635" s="2174"/>
      <c r="C635" s="2174"/>
      <c r="D635" s="2174"/>
      <c r="E635" s="2174"/>
      <c r="F635" s="2174"/>
      <c r="G635" s="2174"/>
      <c r="H635" s="2174"/>
      <c r="I635" s="2174"/>
      <c r="J635" s="2174"/>
      <c r="K635" s="2175"/>
      <c r="L635" s="2176"/>
      <c r="M635" s="2174"/>
      <c r="N635" s="2174"/>
      <c r="O635" s="2174"/>
      <c r="P635" s="2215"/>
      <c r="Q635" s="2174"/>
      <c r="R635" s="2174"/>
      <c r="S635" s="2174"/>
      <c r="T635" s="2174"/>
      <c r="U635" s="2174"/>
      <c r="V635" s="2174"/>
      <c r="W635" s="2174"/>
      <c r="X635" s="2174"/>
      <c r="Y635" s="2174"/>
      <c r="Z635" s="2174"/>
      <c r="AA635" s="2174"/>
      <c r="AB635" s="2174"/>
      <c r="AC635" s="2174"/>
    </row>
    <row r="636" spans="1:29">
      <c r="A636" s="2174"/>
      <c r="B636" s="2174"/>
      <c r="C636" s="2174"/>
      <c r="D636" s="2174"/>
      <c r="E636" s="2174"/>
      <c r="F636" s="2174"/>
      <c r="G636" s="2174"/>
      <c r="H636" s="2174"/>
      <c r="I636" s="2174"/>
      <c r="J636" s="2174"/>
      <c r="K636" s="2175"/>
      <c r="L636" s="2176"/>
      <c r="M636" s="2174"/>
      <c r="N636" s="2174"/>
      <c r="O636" s="2174"/>
      <c r="P636" s="2215"/>
      <c r="Q636" s="2174"/>
      <c r="R636" s="2174"/>
      <c r="S636" s="2174"/>
      <c r="T636" s="2174"/>
      <c r="U636" s="2174"/>
      <c r="V636" s="2174"/>
      <c r="W636" s="2174"/>
      <c r="X636" s="2174"/>
      <c r="Y636" s="2174"/>
      <c r="Z636" s="2174"/>
      <c r="AA636" s="2174"/>
      <c r="AB636" s="2174"/>
      <c r="AC636" s="2174"/>
    </row>
    <row r="637" spans="1:29">
      <c r="A637" s="2174"/>
      <c r="B637" s="2174"/>
      <c r="C637" s="2174"/>
      <c r="D637" s="2174"/>
      <c r="E637" s="2174"/>
      <c r="F637" s="2174"/>
      <c r="G637" s="2174"/>
      <c r="H637" s="2174"/>
      <c r="I637" s="2174"/>
      <c r="J637" s="2174"/>
      <c r="K637" s="2175"/>
      <c r="L637" s="2176"/>
      <c r="M637" s="2174"/>
      <c r="N637" s="2174"/>
      <c r="O637" s="2174"/>
      <c r="P637" s="2215"/>
      <c r="Q637" s="2174"/>
      <c r="R637" s="2174"/>
      <c r="S637" s="2174"/>
      <c r="T637" s="2174"/>
      <c r="U637" s="2174"/>
      <c r="V637" s="2174"/>
      <c r="W637" s="2174"/>
      <c r="X637" s="2174"/>
      <c r="Y637" s="2174"/>
      <c r="Z637" s="2174"/>
      <c r="AA637" s="2174"/>
      <c r="AB637" s="2174"/>
      <c r="AC637" s="2174"/>
    </row>
    <row r="638" spans="1:29">
      <c r="A638" s="2174"/>
      <c r="B638" s="2174"/>
      <c r="C638" s="2174"/>
      <c r="D638" s="2174"/>
      <c r="E638" s="2174"/>
      <c r="F638" s="2174"/>
      <c r="G638" s="2174"/>
      <c r="H638" s="2174"/>
      <c r="I638" s="2174"/>
      <c r="J638" s="2174"/>
      <c r="K638" s="2175"/>
      <c r="L638" s="2176"/>
      <c r="M638" s="2174"/>
      <c r="N638" s="2174"/>
      <c r="O638" s="2174"/>
      <c r="P638" s="2215"/>
      <c r="Q638" s="2174"/>
      <c r="R638" s="2174"/>
      <c r="S638" s="2174"/>
      <c r="T638" s="2174"/>
      <c r="U638" s="2174"/>
      <c r="V638" s="2174"/>
      <c r="W638" s="2174"/>
      <c r="X638" s="2174"/>
      <c r="Y638" s="2174"/>
      <c r="Z638" s="2174"/>
      <c r="AA638" s="2174"/>
      <c r="AB638" s="2174"/>
      <c r="AC638" s="2174"/>
    </row>
    <row r="639" spans="1:29">
      <c r="A639" s="2174"/>
      <c r="B639" s="2174"/>
      <c r="C639" s="2174"/>
      <c r="D639" s="2174"/>
      <c r="E639" s="2174"/>
      <c r="F639" s="2174"/>
      <c r="G639" s="2174"/>
      <c r="H639" s="2174"/>
      <c r="I639" s="2174"/>
      <c r="J639" s="2174"/>
      <c r="K639" s="2175"/>
      <c r="L639" s="2176"/>
      <c r="M639" s="2174"/>
      <c r="N639" s="2174"/>
      <c r="O639" s="2174"/>
      <c r="P639" s="2215"/>
      <c r="Q639" s="2174"/>
      <c r="R639" s="2174"/>
      <c r="S639" s="2174"/>
      <c r="T639" s="2174"/>
      <c r="U639" s="2174"/>
      <c r="V639" s="2174"/>
      <c r="W639" s="2174"/>
      <c r="X639" s="2174"/>
      <c r="Y639" s="2174"/>
      <c r="Z639" s="2174"/>
      <c r="AA639" s="2174"/>
      <c r="AB639" s="2174"/>
      <c r="AC639" s="2174"/>
    </row>
    <row r="640" spans="1:29">
      <c r="A640" s="2174"/>
      <c r="B640" s="2174"/>
      <c r="C640" s="2174"/>
      <c r="D640" s="2174"/>
      <c r="E640" s="2174"/>
      <c r="F640" s="2174"/>
      <c r="G640" s="2174"/>
      <c r="H640" s="2174"/>
      <c r="I640" s="2174"/>
      <c r="J640" s="2174"/>
      <c r="K640" s="2175"/>
      <c r="L640" s="2176"/>
      <c r="M640" s="2174"/>
      <c r="N640" s="2174"/>
      <c r="O640" s="2174"/>
      <c r="P640" s="2215"/>
      <c r="Q640" s="2174"/>
      <c r="R640" s="2174"/>
      <c r="S640" s="2174"/>
      <c r="T640" s="2174"/>
      <c r="U640" s="2174"/>
      <c r="V640" s="2174"/>
      <c r="W640" s="2174"/>
      <c r="X640" s="2174"/>
      <c r="Y640" s="2174"/>
      <c r="Z640" s="2174"/>
      <c r="AA640" s="2174"/>
      <c r="AB640" s="2174"/>
      <c r="AC640" s="2174"/>
    </row>
    <row r="641" spans="1:29">
      <c r="A641" s="2174"/>
      <c r="B641" s="2174"/>
      <c r="C641" s="2174"/>
      <c r="D641" s="2174"/>
      <c r="E641" s="2174"/>
      <c r="F641" s="2174"/>
      <c r="G641" s="2174"/>
      <c r="H641" s="2174"/>
      <c r="I641" s="2174"/>
      <c r="J641" s="2174"/>
      <c r="K641" s="2175"/>
      <c r="L641" s="2176"/>
      <c r="M641" s="2174"/>
      <c r="N641" s="2174"/>
      <c r="O641" s="2174"/>
      <c r="P641" s="2215"/>
      <c r="Q641" s="2174"/>
      <c r="R641" s="2174"/>
      <c r="S641" s="2174"/>
      <c r="T641" s="2174"/>
      <c r="U641" s="2174"/>
      <c r="V641" s="2174"/>
      <c r="W641" s="2174"/>
      <c r="X641" s="2174"/>
      <c r="Y641" s="2174"/>
      <c r="Z641" s="2174"/>
      <c r="AA641" s="2174"/>
      <c r="AB641" s="2174"/>
      <c r="AC641" s="2174"/>
    </row>
    <row r="642" spans="1:29">
      <c r="A642" s="2174"/>
      <c r="B642" s="2174"/>
      <c r="C642" s="2174"/>
      <c r="D642" s="2174"/>
      <c r="E642" s="2174"/>
      <c r="F642" s="2174"/>
      <c r="G642" s="2174"/>
      <c r="H642" s="2174"/>
      <c r="I642" s="2174"/>
      <c r="J642" s="2174"/>
      <c r="K642" s="2175"/>
      <c r="L642" s="2176"/>
      <c r="M642" s="2174"/>
      <c r="N642" s="2174"/>
      <c r="O642" s="2174"/>
      <c r="P642" s="2215"/>
      <c r="Q642" s="2174"/>
      <c r="R642" s="2174"/>
      <c r="S642" s="2174"/>
      <c r="T642" s="2174"/>
      <c r="U642" s="2174"/>
      <c r="V642" s="2174"/>
      <c r="W642" s="2174"/>
      <c r="X642" s="2174"/>
      <c r="Y642" s="2174"/>
      <c r="Z642" s="2174"/>
      <c r="AA642" s="2174"/>
      <c r="AB642" s="2174"/>
      <c r="AC642" s="2174"/>
    </row>
    <row r="643" spans="1:29">
      <c r="A643" s="2174"/>
      <c r="B643" s="2174"/>
      <c r="C643" s="2174"/>
      <c r="D643" s="2174"/>
      <c r="E643" s="2174"/>
      <c r="F643" s="2174"/>
      <c r="G643" s="2174"/>
      <c r="H643" s="2174"/>
      <c r="I643" s="2174"/>
      <c r="J643" s="2174"/>
      <c r="K643" s="2175"/>
      <c r="L643" s="2176"/>
      <c r="M643" s="2174"/>
      <c r="N643" s="2174"/>
      <c r="O643" s="2174"/>
      <c r="P643" s="2215"/>
      <c r="Q643" s="2174"/>
      <c r="R643" s="2174"/>
      <c r="S643" s="2174"/>
      <c r="T643" s="2174"/>
      <c r="U643" s="2174"/>
      <c r="V643" s="2174"/>
      <c r="W643" s="2174"/>
      <c r="X643" s="2174"/>
      <c r="Y643" s="2174"/>
      <c r="Z643" s="2174"/>
      <c r="AA643" s="2174"/>
      <c r="AB643" s="2174"/>
      <c r="AC643" s="2174"/>
    </row>
    <row r="644" spans="1:29">
      <c r="A644" s="2174"/>
      <c r="B644" s="2174"/>
      <c r="C644" s="2174"/>
      <c r="D644" s="2174"/>
      <c r="E644" s="2174"/>
      <c r="F644" s="2174"/>
      <c r="G644" s="2174"/>
      <c r="H644" s="2174"/>
      <c r="I644" s="2174"/>
      <c r="J644" s="2174"/>
      <c r="K644" s="2175"/>
      <c r="L644" s="2176"/>
      <c r="M644" s="2174"/>
      <c r="N644" s="2174"/>
      <c r="O644" s="2174"/>
      <c r="P644" s="2215"/>
      <c r="Q644" s="2174"/>
      <c r="R644" s="2174"/>
      <c r="S644" s="2174"/>
      <c r="T644" s="2174"/>
      <c r="U644" s="2174"/>
      <c r="V644" s="2174"/>
      <c r="W644" s="2174"/>
      <c r="X644" s="2174"/>
      <c r="Y644" s="2174"/>
      <c r="Z644" s="2174"/>
      <c r="AA644" s="2174"/>
      <c r="AB644" s="2174"/>
      <c r="AC644" s="2174"/>
    </row>
    <row r="645" spans="1:29">
      <c r="A645" s="2174"/>
      <c r="B645" s="2174"/>
      <c r="C645" s="2174"/>
      <c r="D645" s="2174"/>
      <c r="E645" s="2174"/>
      <c r="F645" s="2174"/>
      <c r="G645" s="2174"/>
      <c r="H645" s="2174"/>
      <c r="I645" s="2174"/>
      <c r="J645" s="2174"/>
      <c r="K645" s="2175"/>
      <c r="L645" s="2176"/>
      <c r="M645" s="2174"/>
      <c r="N645" s="2174"/>
      <c r="O645" s="2174"/>
      <c r="P645" s="2215"/>
      <c r="Q645" s="2174"/>
      <c r="R645" s="2174"/>
      <c r="S645" s="2174"/>
      <c r="T645" s="2174"/>
      <c r="U645" s="2174"/>
      <c r="V645" s="2174"/>
      <c r="W645" s="2174"/>
      <c r="X645" s="2174"/>
      <c r="Y645" s="2174"/>
      <c r="Z645" s="2174"/>
      <c r="AA645" s="2174"/>
      <c r="AB645" s="2174"/>
      <c r="AC645" s="2174"/>
    </row>
    <row r="646" spans="1:29">
      <c r="A646" s="2174"/>
      <c r="B646" s="2174"/>
      <c r="C646" s="2174"/>
      <c r="D646" s="2174"/>
      <c r="E646" s="2174"/>
      <c r="F646" s="2174"/>
      <c r="G646" s="2174"/>
      <c r="H646" s="2174"/>
      <c r="I646" s="2174"/>
      <c r="J646" s="2174"/>
      <c r="K646" s="2175"/>
      <c r="L646" s="2176"/>
      <c r="M646" s="2174"/>
      <c r="N646" s="2174"/>
      <c r="O646" s="2174"/>
      <c r="P646" s="2215"/>
      <c r="Q646" s="2174"/>
      <c r="R646" s="2174"/>
      <c r="S646" s="2174"/>
      <c r="T646" s="2174"/>
      <c r="U646" s="2174"/>
      <c r="V646" s="2174"/>
      <c r="W646" s="2174"/>
      <c r="X646" s="2174"/>
      <c r="Y646" s="2174"/>
      <c r="Z646" s="2174"/>
      <c r="AA646" s="2174"/>
      <c r="AB646" s="2174"/>
      <c r="AC646" s="2174"/>
    </row>
    <row r="647" spans="1:29">
      <c r="A647" s="2174"/>
      <c r="B647" s="2174"/>
      <c r="C647" s="2174"/>
      <c r="D647" s="2174"/>
      <c r="E647" s="2174"/>
      <c r="F647" s="2174"/>
      <c r="G647" s="2174"/>
      <c r="H647" s="2174"/>
      <c r="I647" s="2174"/>
      <c r="J647" s="2174"/>
      <c r="K647" s="2175"/>
      <c r="L647" s="2176"/>
      <c r="M647" s="2174"/>
      <c r="N647" s="2174"/>
      <c r="O647" s="2174"/>
      <c r="P647" s="2215"/>
      <c r="Q647" s="2174"/>
      <c r="R647" s="2174"/>
      <c r="S647" s="2174"/>
      <c r="T647" s="2174"/>
      <c r="U647" s="2174"/>
      <c r="V647" s="2174"/>
      <c r="W647" s="2174"/>
      <c r="X647" s="2174"/>
      <c r="Y647" s="2174"/>
      <c r="Z647" s="2174"/>
      <c r="AA647" s="2174"/>
      <c r="AB647" s="2174"/>
      <c r="AC647" s="2174"/>
    </row>
    <row r="648" spans="1:29">
      <c r="A648" s="2174"/>
      <c r="B648" s="2174"/>
      <c r="C648" s="2174"/>
      <c r="D648" s="2174"/>
      <c r="E648" s="2174"/>
      <c r="F648" s="2174"/>
      <c r="G648" s="2174"/>
      <c r="H648" s="2174"/>
      <c r="I648" s="2174"/>
      <c r="J648" s="2174"/>
      <c r="K648" s="2175"/>
      <c r="L648" s="2176"/>
      <c r="M648" s="2174"/>
      <c r="N648" s="2174"/>
      <c r="O648" s="2174"/>
      <c r="P648" s="2215"/>
      <c r="Q648" s="2174"/>
      <c r="R648" s="2174"/>
      <c r="S648" s="2174"/>
      <c r="T648" s="2174"/>
      <c r="U648" s="2174"/>
      <c r="V648" s="2174"/>
      <c r="W648" s="2174"/>
      <c r="X648" s="2174"/>
      <c r="Y648" s="2174"/>
      <c r="Z648" s="2174"/>
      <c r="AA648" s="2174"/>
      <c r="AB648" s="2174"/>
      <c r="AC648" s="2174"/>
    </row>
    <row r="649" spans="1:29">
      <c r="A649" s="2174"/>
      <c r="B649" s="2174"/>
      <c r="C649" s="2174"/>
      <c r="D649" s="2174"/>
      <c r="E649" s="2174"/>
      <c r="F649" s="2174"/>
      <c r="G649" s="2174"/>
      <c r="H649" s="2174"/>
      <c r="I649" s="2174"/>
      <c r="J649" s="2174"/>
      <c r="K649" s="2175"/>
      <c r="L649" s="2176"/>
      <c r="M649" s="2174"/>
      <c r="N649" s="2174"/>
      <c r="O649" s="2174"/>
      <c r="P649" s="2215"/>
      <c r="Q649" s="2174"/>
      <c r="R649" s="2174"/>
      <c r="S649" s="2174"/>
      <c r="T649" s="2174"/>
      <c r="U649" s="2174"/>
      <c r="V649" s="2174"/>
      <c r="W649" s="2174"/>
      <c r="X649" s="2174"/>
      <c r="Y649" s="2174"/>
      <c r="Z649" s="2174"/>
      <c r="AA649" s="2174"/>
      <c r="AB649" s="2174"/>
      <c r="AC649" s="2174"/>
    </row>
    <row r="650" spans="1:29">
      <c r="A650" s="2174"/>
      <c r="B650" s="2174"/>
      <c r="C650" s="2174"/>
      <c r="D650" s="2174"/>
      <c r="E650" s="2174"/>
      <c r="F650" s="2174"/>
      <c r="G650" s="2174"/>
      <c r="H650" s="2174"/>
      <c r="I650" s="2174"/>
      <c r="J650" s="2174"/>
      <c r="K650" s="2175"/>
      <c r="L650" s="2176"/>
      <c r="M650" s="2174"/>
      <c r="N650" s="2174"/>
      <c r="O650" s="2174"/>
      <c r="P650" s="2215"/>
      <c r="Q650" s="2174"/>
      <c r="R650" s="2174"/>
      <c r="S650" s="2174"/>
      <c r="T650" s="2174"/>
      <c r="U650" s="2174"/>
      <c r="V650" s="2174"/>
      <c r="W650" s="2174"/>
      <c r="X650" s="2174"/>
      <c r="Y650" s="2174"/>
      <c r="Z650" s="2174"/>
      <c r="AA650" s="2174"/>
      <c r="AB650" s="2174"/>
      <c r="AC650" s="2174"/>
    </row>
    <row r="651" spans="1:29">
      <c r="A651" s="2174"/>
      <c r="B651" s="2174"/>
      <c r="C651" s="2174"/>
      <c r="D651" s="2174"/>
      <c r="E651" s="2174"/>
      <c r="F651" s="2174"/>
      <c r="G651" s="2174"/>
      <c r="H651" s="2174"/>
      <c r="I651" s="2174"/>
      <c r="J651" s="2174"/>
      <c r="K651" s="2175"/>
      <c r="L651" s="2176"/>
      <c r="M651" s="2174"/>
      <c r="N651" s="2174"/>
      <c r="O651" s="2174"/>
      <c r="P651" s="2215"/>
      <c r="Q651" s="2174"/>
      <c r="R651" s="2174"/>
      <c r="S651" s="2174"/>
      <c r="T651" s="2174"/>
      <c r="U651" s="2174"/>
      <c r="V651" s="2174"/>
      <c r="W651" s="2174"/>
      <c r="X651" s="2174"/>
      <c r="Y651" s="2174"/>
      <c r="Z651" s="2174"/>
      <c r="AA651" s="2174"/>
      <c r="AB651" s="2174"/>
      <c r="AC651" s="2174"/>
    </row>
    <row r="652" spans="1:29">
      <c r="A652" s="2174"/>
      <c r="B652" s="2174"/>
      <c r="C652" s="2174"/>
      <c r="D652" s="2174"/>
      <c r="E652" s="2174"/>
      <c r="F652" s="2174"/>
      <c r="G652" s="2174"/>
      <c r="H652" s="2174"/>
      <c r="I652" s="2174"/>
      <c r="J652" s="2174"/>
      <c r="K652" s="2175"/>
      <c r="L652" s="2176"/>
      <c r="M652" s="2174"/>
      <c r="N652" s="2174"/>
      <c r="O652" s="2174"/>
      <c r="P652" s="2215"/>
      <c r="Q652" s="2174"/>
      <c r="R652" s="2174"/>
      <c r="S652" s="2174"/>
      <c r="T652" s="2174"/>
      <c r="U652" s="2174"/>
      <c r="V652" s="2174"/>
      <c r="W652" s="2174"/>
      <c r="X652" s="2174"/>
      <c r="Y652" s="2174"/>
      <c r="Z652" s="2174"/>
      <c r="AA652" s="2174"/>
      <c r="AB652" s="2174"/>
      <c r="AC652" s="2174"/>
    </row>
    <row r="653" spans="1:29">
      <c r="A653" s="2174"/>
      <c r="B653" s="2174"/>
      <c r="C653" s="2174"/>
      <c r="D653" s="2174"/>
      <c r="E653" s="2174"/>
      <c r="F653" s="2174"/>
      <c r="G653" s="2174"/>
      <c r="H653" s="2174"/>
      <c r="I653" s="2174"/>
      <c r="J653" s="2174"/>
      <c r="K653" s="2175"/>
      <c r="L653" s="2176"/>
      <c r="M653" s="2174"/>
      <c r="N653" s="2174"/>
      <c r="O653" s="2174"/>
      <c r="P653" s="2215"/>
      <c r="Q653" s="2174"/>
      <c r="R653" s="2174"/>
      <c r="S653" s="2174"/>
      <c r="T653" s="2174"/>
      <c r="U653" s="2174"/>
      <c r="V653" s="2174"/>
      <c r="W653" s="2174"/>
      <c r="X653" s="2174"/>
      <c r="Y653" s="2174"/>
      <c r="Z653" s="2174"/>
      <c r="AA653" s="2174"/>
      <c r="AB653" s="2174"/>
      <c r="AC653" s="2174"/>
    </row>
    <row r="654" spans="1:29">
      <c r="A654" s="2174"/>
      <c r="B654" s="2174"/>
      <c r="C654" s="2174"/>
      <c r="D654" s="2174"/>
      <c r="E654" s="2174"/>
      <c r="F654" s="2174"/>
      <c r="G654" s="2174"/>
      <c r="H654" s="2174"/>
      <c r="I654" s="2174"/>
      <c r="J654" s="2174"/>
      <c r="K654" s="2175"/>
      <c r="L654" s="2176"/>
      <c r="M654" s="2174"/>
      <c r="N654" s="2174"/>
      <c r="O654" s="2174"/>
      <c r="P654" s="2215"/>
      <c r="Q654" s="2174"/>
      <c r="R654" s="2174"/>
      <c r="S654" s="2174"/>
      <c r="T654" s="2174"/>
      <c r="U654" s="2174"/>
      <c r="V654" s="2174"/>
      <c r="W654" s="2174"/>
      <c r="X654" s="2174"/>
      <c r="Y654" s="2174"/>
      <c r="Z654" s="2174"/>
      <c r="AA654" s="2174"/>
      <c r="AB654" s="2174"/>
      <c r="AC654" s="2174"/>
    </row>
    <row r="655" spans="1:29">
      <c r="A655" s="2174"/>
      <c r="B655" s="2174"/>
      <c r="C655" s="2174"/>
      <c r="D655" s="2174"/>
      <c r="E655" s="2174"/>
      <c r="F655" s="2174"/>
      <c r="G655" s="2174"/>
      <c r="H655" s="2174"/>
      <c r="I655" s="2174"/>
      <c r="J655" s="2174"/>
      <c r="K655" s="2175"/>
      <c r="L655" s="2176"/>
      <c r="M655" s="2174"/>
      <c r="N655" s="2174"/>
      <c r="O655" s="2174"/>
      <c r="P655" s="2215"/>
      <c r="Q655" s="2174"/>
      <c r="R655" s="2174"/>
      <c r="S655" s="2174"/>
      <c r="T655" s="2174"/>
      <c r="U655" s="2174"/>
      <c r="V655" s="2174"/>
      <c r="W655" s="2174"/>
      <c r="X655" s="2174"/>
      <c r="Y655" s="2174"/>
      <c r="Z655" s="2174"/>
      <c r="AA655" s="2174"/>
      <c r="AB655" s="2174"/>
      <c r="AC655" s="2174"/>
    </row>
    <row r="656" spans="1:29">
      <c r="A656" s="2174"/>
      <c r="B656" s="2174"/>
      <c r="C656" s="2174"/>
      <c r="D656" s="2174"/>
      <c r="E656" s="2174"/>
      <c r="F656" s="2174"/>
      <c r="G656" s="2174"/>
      <c r="H656" s="2174"/>
      <c r="I656" s="2174"/>
      <c r="J656" s="2174"/>
      <c r="K656" s="2175"/>
      <c r="L656" s="2176"/>
      <c r="M656" s="2174"/>
      <c r="N656" s="2174"/>
      <c r="O656" s="2174"/>
      <c r="P656" s="2215"/>
      <c r="Q656" s="2174"/>
      <c r="R656" s="2174"/>
      <c r="S656" s="2174"/>
      <c r="T656" s="2174"/>
      <c r="U656" s="2174"/>
      <c r="V656" s="2174"/>
      <c r="W656" s="2174"/>
      <c r="X656" s="2174"/>
      <c r="Y656" s="2174"/>
      <c r="Z656" s="2174"/>
      <c r="AA656" s="2174"/>
      <c r="AB656" s="2174"/>
      <c r="AC656" s="2174"/>
    </row>
    <row r="657" spans="1:29">
      <c r="A657" s="2174"/>
      <c r="B657" s="2174"/>
      <c r="C657" s="2174"/>
      <c r="D657" s="2174"/>
      <c r="E657" s="2174"/>
      <c r="F657" s="2174"/>
      <c r="G657" s="2174"/>
      <c r="H657" s="2174"/>
      <c r="I657" s="2174"/>
      <c r="J657" s="2174"/>
      <c r="K657" s="2175"/>
      <c r="L657" s="2176"/>
      <c r="M657" s="2174"/>
      <c r="N657" s="2174"/>
      <c r="O657" s="2174"/>
      <c r="P657" s="2215"/>
      <c r="Q657" s="2174"/>
      <c r="R657" s="2174"/>
      <c r="S657" s="2174"/>
      <c r="T657" s="2174"/>
      <c r="U657" s="2174"/>
      <c r="V657" s="2174"/>
      <c r="W657" s="2174"/>
      <c r="X657" s="2174"/>
      <c r="Y657" s="2174"/>
      <c r="Z657" s="2174"/>
      <c r="AA657" s="2174"/>
      <c r="AB657" s="2174"/>
      <c r="AC657" s="2174"/>
    </row>
    <row r="658" spans="1:29">
      <c r="A658" s="2174"/>
      <c r="B658" s="2174"/>
      <c r="C658" s="2174"/>
      <c r="D658" s="2174"/>
      <c r="E658" s="2174"/>
      <c r="F658" s="2174"/>
      <c r="G658" s="2174"/>
      <c r="H658" s="2174"/>
      <c r="I658" s="2174"/>
      <c r="J658" s="2174"/>
      <c r="K658" s="2175"/>
      <c r="L658" s="2176"/>
      <c r="M658" s="2174"/>
      <c r="N658" s="2174"/>
      <c r="O658" s="2174"/>
      <c r="P658" s="2215"/>
      <c r="Q658" s="2174"/>
      <c r="R658" s="2174"/>
      <c r="S658" s="2174"/>
      <c r="T658" s="2174"/>
      <c r="U658" s="2174"/>
      <c r="V658" s="2174"/>
      <c r="W658" s="2174"/>
      <c r="X658" s="2174"/>
      <c r="Y658" s="2174"/>
      <c r="Z658" s="2174"/>
      <c r="AA658" s="2174"/>
      <c r="AB658" s="2174"/>
      <c r="AC658" s="2174"/>
    </row>
    <row r="659" spans="1:29">
      <c r="A659" s="2174"/>
      <c r="B659" s="2174"/>
      <c r="C659" s="2174"/>
      <c r="D659" s="2174"/>
      <c r="E659" s="2174"/>
      <c r="F659" s="2174"/>
      <c r="G659" s="2174"/>
      <c r="H659" s="2174"/>
      <c r="I659" s="2174"/>
      <c r="J659" s="2174"/>
      <c r="K659" s="2175"/>
      <c r="L659" s="2176"/>
      <c r="M659" s="2174"/>
      <c r="N659" s="2174"/>
      <c r="O659" s="2174"/>
      <c r="P659" s="2215"/>
      <c r="Q659" s="2174"/>
      <c r="R659" s="2174"/>
      <c r="S659" s="2174"/>
      <c r="T659" s="2174"/>
      <c r="U659" s="2174"/>
      <c r="V659" s="2174"/>
      <c r="W659" s="2174"/>
      <c r="X659" s="2174"/>
      <c r="Y659" s="2174"/>
      <c r="Z659" s="2174"/>
      <c r="AA659" s="2174"/>
      <c r="AB659" s="2174"/>
      <c r="AC659" s="2174"/>
    </row>
    <row r="660" spans="1:29">
      <c r="A660" s="2174"/>
      <c r="B660" s="2174"/>
      <c r="C660" s="2174"/>
      <c r="D660" s="2174"/>
      <c r="E660" s="2174"/>
      <c r="F660" s="2174"/>
      <c r="G660" s="2174"/>
      <c r="H660" s="2174"/>
      <c r="I660" s="2174"/>
      <c r="J660" s="2174"/>
      <c r="K660" s="2175"/>
      <c r="L660" s="2176"/>
      <c r="M660" s="2174"/>
      <c r="N660" s="2174"/>
      <c r="O660" s="2174"/>
      <c r="P660" s="2215"/>
      <c r="Q660" s="2174"/>
      <c r="R660" s="2174"/>
      <c r="S660" s="2174"/>
      <c r="T660" s="2174"/>
      <c r="U660" s="2174"/>
      <c r="V660" s="2174"/>
      <c r="W660" s="2174"/>
      <c r="X660" s="2174"/>
      <c r="Y660" s="2174"/>
      <c r="Z660" s="2174"/>
      <c r="AA660" s="2174"/>
      <c r="AB660" s="2174"/>
      <c r="AC660" s="2174"/>
    </row>
    <row r="661" spans="1:29">
      <c r="A661" s="2174"/>
      <c r="B661" s="2174"/>
      <c r="C661" s="2174"/>
      <c r="D661" s="2174"/>
      <c r="E661" s="2174"/>
      <c r="F661" s="2174"/>
      <c r="G661" s="2174"/>
      <c r="H661" s="2174"/>
      <c r="I661" s="2174"/>
      <c r="J661" s="2174"/>
      <c r="K661" s="2175"/>
      <c r="L661" s="2176"/>
      <c r="M661" s="2174"/>
      <c r="N661" s="2174"/>
      <c r="O661" s="2174"/>
      <c r="P661" s="2215"/>
      <c r="Q661" s="2174"/>
      <c r="R661" s="2174"/>
      <c r="S661" s="2174"/>
      <c r="T661" s="2174"/>
      <c r="U661" s="2174"/>
      <c r="V661" s="2174"/>
      <c r="W661" s="2174"/>
      <c r="X661" s="2174"/>
      <c r="Y661" s="2174"/>
      <c r="Z661" s="2174"/>
      <c r="AA661" s="2174"/>
      <c r="AB661" s="2174"/>
      <c r="AC661" s="2174"/>
    </row>
    <row r="662" spans="1:29">
      <c r="A662" s="2174"/>
      <c r="B662" s="2174"/>
      <c r="C662" s="2174"/>
      <c r="D662" s="2174"/>
      <c r="E662" s="2174"/>
      <c r="F662" s="2174"/>
      <c r="G662" s="2174"/>
      <c r="H662" s="2174"/>
      <c r="I662" s="2174"/>
      <c r="J662" s="2174"/>
      <c r="K662" s="2175"/>
      <c r="L662" s="2176"/>
      <c r="M662" s="2174"/>
      <c r="N662" s="2174"/>
      <c r="O662" s="2174"/>
      <c r="P662" s="2215"/>
      <c r="Q662" s="2174"/>
      <c r="R662" s="2174"/>
      <c r="S662" s="2174"/>
      <c r="T662" s="2174"/>
      <c r="U662" s="2174"/>
      <c r="V662" s="2174"/>
      <c r="W662" s="2174"/>
      <c r="X662" s="2174"/>
      <c r="Y662" s="2174"/>
      <c r="Z662" s="2174"/>
      <c r="AA662" s="2174"/>
      <c r="AB662" s="2174"/>
      <c r="AC662" s="2174"/>
    </row>
    <row r="663" spans="1:29">
      <c r="A663" s="2174"/>
      <c r="B663" s="2174"/>
      <c r="C663" s="2174"/>
      <c r="D663" s="2174"/>
      <c r="E663" s="2174"/>
      <c r="F663" s="2174"/>
      <c r="G663" s="2174"/>
      <c r="H663" s="2174"/>
      <c r="I663" s="2174"/>
      <c r="J663" s="2174"/>
      <c r="K663" s="2175"/>
      <c r="L663" s="2176"/>
      <c r="M663" s="2174"/>
      <c r="N663" s="2174"/>
      <c r="O663" s="2174"/>
      <c r="P663" s="2215"/>
      <c r="Q663" s="2174"/>
      <c r="R663" s="2174"/>
      <c r="S663" s="2174"/>
      <c r="T663" s="2174"/>
      <c r="U663" s="2174"/>
      <c r="V663" s="2174"/>
      <c r="W663" s="2174"/>
      <c r="X663" s="2174"/>
      <c r="Y663" s="2174"/>
      <c r="Z663" s="2174"/>
      <c r="AA663" s="2174"/>
      <c r="AB663" s="2174"/>
      <c r="AC663" s="2174"/>
    </row>
    <row r="664" spans="1:29">
      <c r="A664" s="2174"/>
      <c r="B664" s="2174"/>
      <c r="C664" s="2174"/>
      <c r="D664" s="2174"/>
      <c r="E664" s="2174"/>
      <c r="F664" s="2174"/>
      <c r="G664" s="2174"/>
      <c r="H664" s="2174"/>
      <c r="I664" s="2174"/>
      <c r="J664" s="2174"/>
      <c r="K664" s="2175"/>
      <c r="L664" s="2176"/>
      <c r="M664" s="2174"/>
      <c r="N664" s="2174"/>
      <c r="O664" s="2174"/>
      <c r="P664" s="2215"/>
      <c r="Q664" s="2174"/>
      <c r="R664" s="2174"/>
      <c r="S664" s="2174"/>
      <c r="T664" s="2174"/>
      <c r="U664" s="2174"/>
      <c r="V664" s="2174"/>
      <c r="W664" s="2174"/>
      <c r="X664" s="2174"/>
      <c r="Y664" s="2174"/>
      <c r="Z664" s="2174"/>
      <c r="AA664" s="2174"/>
      <c r="AB664" s="2174"/>
      <c r="AC664" s="2174"/>
    </row>
    <row r="665" spans="1:29">
      <c r="A665" s="2174"/>
      <c r="B665" s="2174"/>
      <c r="C665" s="2174"/>
      <c r="D665" s="2174"/>
      <c r="E665" s="2174"/>
      <c r="F665" s="2174"/>
      <c r="G665" s="2174"/>
      <c r="H665" s="2174"/>
      <c r="I665" s="2174"/>
      <c r="J665" s="2174"/>
      <c r="K665" s="2175"/>
      <c r="L665" s="2176"/>
      <c r="M665" s="2174"/>
      <c r="N665" s="2174"/>
      <c r="O665" s="2174"/>
      <c r="P665" s="2215"/>
      <c r="Q665" s="2174"/>
      <c r="R665" s="2174"/>
      <c r="S665" s="2174"/>
      <c r="T665" s="2174"/>
      <c r="U665" s="2174"/>
      <c r="V665" s="2174"/>
      <c r="W665" s="2174"/>
      <c r="X665" s="2174"/>
      <c r="Y665" s="2174"/>
      <c r="Z665" s="2174"/>
      <c r="AA665" s="2174"/>
      <c r="AB665" s="2174"/>
      <c r="AC665" s="2174"/>
    </row>
    <row r="666" spans="1:29">
      <c r="A666" s="2174"/>
      <c r="B666" s="2174"/>
      <c r="C666" s="2174"/>
      <c r="D666" s="2174"/>
      <c r="E666" s="2174"/>
      <c r="F666" s="2174"/>
      <c r="G666" s="2174"/>
      <c r="H666" s="2174"/>
      <c r="I666" s="2174"/>
      <c r="J666" s="2174"/>
      <c r="K666" s="2175"/>
      <c r="L666" s="2176"/>
      <c r="M666" s="2174"/>
      <c r="N666" s="2174"/>
      <c r="O666" s="2174"/>
      <c r="P666" s="2215"/>
      <c r="Q666" s="2174"/>
      <c r="R666" s="2174"/>
      <c r="S666" s="2174"/>
      <c r="T666" s="2174"/>
      <c r="U666" s="2174"/>
      <c r="V666" s="2174"/>
      <c r="W666" s="2174"/>
      <c r="X666" s="2174"/>
      <c r="Y666" s="2174"/>
      <c r="Z666" s="2174"/>
      <c r="AA666" s="2174"/>
      <c r="AB666" s="2174"/>
      <c r="AC666" s="2174"/>
    </row>
    <row r="667" spans="1:29">
      <c r="A667" s="2174"/>
      <c r="B667" s="2174"/>
      <c r="C667" s="2174"/>
      <c r="D667" s="2174"/>
      <c r="E667" s="2174"/>
      <c r="F667" s="2174"/>
      <c r="G667" s="2174"/>
      <c r="H667" s="2174"/>
      <c r="I667" s="2174"/>
      <c r="J667" s="2174"/>
      <c r="K667" s="2175"/>
      <c r="L667" s="2176"/>
      <c r="M667" s="2174"/>
      <c r="N667" s="2174"/>
      <c r="O667" s="2174"/>
      <c r="P667" s="2215"/>
      <c r="Q667" s="2174"/>
      <c r="R667" s="2174"/>
      <c r="S667" s="2174"/>
      <c r="T667" s="2174"/>
      <c r="U667" s="2174"/>
      <c r="V667" s="2174"/>
      <c r="W667" s="2174"/>
      <c r="X667" s="2174"/>
      <c r="Y667" s="2174"/>
      <c r="Z667" s="2174"/>
      <c r="AA667" s="2174"/>
      <c r="AB667" s="2174"/>
      <c r="AC667" s="2174"/>
    </row>
    <row r="668" spans="1:29">
      <c r="A668" s="2174"/>
      <c r="B668" s="2174"/>
      <c r="C668" s="2174"/>
      <c r="D668" s="2174"/>
      <c r="E668" s="2174"/>
      <c r="F668" s="2174"/>
      <c r="G668" s="2174"/>
      <c r="H668" s="2174"/>
      <c r="I668" s="2174"/>
      <c r="J668" s="2174"/>
      <c r="K668" s="2175"/>
      <c r="L668" s="2176"/>
      <c r="M668" s="2174"/>
      <c r="N668" s="2174"/>
      <c r="O668" s="2174"/>
      <c r="P668" s="2215"/>
      <c r="Q668" s="2174"/>
      <c r="R668" s="2174"/>
      <c r="S668" s="2174"/>
      <c r="T668" s="2174"/>
      <c r="U668" s="2174"/>
      <c r="V668" s="2174"/>
      <c r="W668" s="2174"/>
      <c r="X668" s="2174"/>
      <c r="Y668" s="2174"/>
      <c r="Z668" s="2174"/>
      <c r="AA668" s="2174"/>
      <c r="AB668" s="2174"/>
      <c r="AC668" s="2174"/>
    </row>
    <row r="669" spans="1:29">
      <c r="A669" s="2174"/>
      <c r="B669" s="2174"/>
      <c r="C669" s="2174"/>
      <c r="D669" s="2174"/>
      <c r="E669" s="2174"/>
      <c r="F669" s="2174"/>
      <c r="G669" s="2174"/>
      <c r="H669" s="2174"/>
      <c r="I669" s="2174"/>
      <c r="J669" s="2174"/>
      <c r="K669" s="2175"/>
      <c r="L669" s="2176"/>
      <c r="M669" s="2174"/>
      <c r="N669" s="2174"/>
      <c r="O669" s="2174"/>
      <c r="P669" s="2215"/>
      <c r="Q669" s="2174"/>
      <c r="R669" s="2174"/>
      <c r="S669" s="2174"/>
      <c r="T669" s="2174"/>
      <c r="U669" s="2174"/>
      <c r="V669" s="2174"/>
      <c r="W669" s="2174"/>
      <c r="X669" s="2174"/>
      <c r="Y669" s="2174"/>
      <c r="Z669" s="2174"/>
      <c r="AA669" s="2174"/>
      <c r="AB669" s="2174"/>
      <c r="AC669" s="2174"/>
    </row>
    <row r="670" spans="1:29">
      <c r="A670" s="2174"/>
      <c r="B670" s="2174"/>
      <c r="C670" s="2174"/>
      <c r="D670" s="2174"/>
      <c r="E670" s="2174"/>
      <c r="F670" s="2174"/>
      <c r="G670" s="2174"/>
      <c r="H670" s="2174"/>
      <c r="I670" s="2174"/>
      <c r="J670" s="2174"/>
      <c r="K670" s="2175"/>
      <c r="L670" s="2176"/>
      <c r="M670" s="2174"/>
      <c r="N670" s="2174"/>
      <c r="O670" s="2174"/>
      <c r="P670" s="2215"/>
      <c r="Q670" s="2174"/>
      <c r="R670" s="2174"/>
      <c r="S670" s="2174"/>
      <c r="T670" s="2174"/>
      <c r="U670" s="2174"/>
      <c r="V670" s="2174"/>
      <c r="W670" s="2174"/>
      <c r="X670" s="2174"/>
      <c r="Y670" s="2174"/>
      <c r="Z670" s="2174"/>
      <c r="AA670" s="2174"/>
      <c r="AB670" s="2174"/>
      <c r="AC670" s="2174"/>
    </row>
    <row r="671" spans="1:29">
      <c r="A671" s="2174"/>
      <c r="B671" s="2174"/>
      <c r="C671" s="2174"/>
      <c r="D671" s="2174"/>
      <c r="E671" s="2174"/>
      <c r="F671" s="2174"/>
      <c r="G671" s="2174"/>
      <c r="H671" s="2174"/>
      <c r="I671" s="2174"/>
      <c r="J671" s="2174"/>
      <c r="K671" s="2175"/>
      <c r="L671" s="2176"/>
      <c r="M671" s="2174"/>
      <c r="N671" s="2174"/>
      <c r="O671" s="2174"/>
      <c r="P671" s="2215"/>
      <c r="Q671" s="2174"/>
      <c r="R671" s="2174"/>
      <c r="S671" s="2174"/>
      <c r="T671" s="2174"/>
      <c r="U671" s="2174"/>
      <c r="V671" s="2174"/>
      <c r="W671" s="2174"/>
      <c r="X671" s="2174"/>
      <c r="Y671" s="2174"/>
      <c r="Z671" s="2174"/>
      <c r="AA671" s="2174"/>
      <c r="AB671" s="2174"/>
      <c r="AC671" s="2174"/>
    </row>
    <row r="672" spans="1:29">
      <c r="A672" s="2174"/>
      <c r="B672" s="2174"/>
      <c r="C672" s="2174"/>
      <c r="D672" s="2174"/>
      <c r="E672" s="2174"/>
      <c r="F672" s="2174"/>
      <c r="G672" s="2174"/>
      <c r="H672" s="2174"/>
      <c r="I672" s="2174"/>
      <c r="J672" s="2174"/>
      <c r="K672" s="2175"/>
      <c r="L672" s="2176"/>
      <c r="M672" s="2174"/>
      <c r="N672" s="2174"/>
      <c r="O672" s="2174"/>
      <c r="P672" s="2215"/>
      <c r="Q672" s="2174"/>
      <c r="R672" s="2174"/>
      <c r="S672" s="2174"/>
      <c r="T672" s="2174"/>
      <c r="U672" s="2174"/>
      <c r="V672" s="2174"/>
      <c r="W672" s="2174"/>
      <c r="X672" s="2174"/>
      <c r="Y672" s="2174"/>
      <c r="Z672" s="2174"/>
      <c r="AA672" s="2174"/>
      <c r="AB672" s="2174"/>
      <c r="AC672" s="2174"/>
    </row>
    <row r="673" spans="1:29">
      <c r="A673" s="2174"/>
      <c r="B673" s="2174"/>
      <c r="C673" s="2174"/>
      <c r="D673" s="2174"/>
      <c r="E673" s="2174"/>
      <c r="F673" s="2174"/>
      <c r="G673" s="2174"/>
      <c r="H673" s="2174"/>
      <c r="I673" s="2174"/>
      <c r="J673" s="2174"/>
      <c r="K673" s="2175"/>
      <c r="L673" s="2176"/>
      <c r="M673" s="2174"/>
      <c r="N673" s="2174"/>
      <c r="O673" s="2174"/>
      <c r="P673" s="2215"/>
      <c r="Q673" s="2174"/>
      <c r="R673" s="2174"/>
      <c r="S673" s="2174"/>
      <c r="T673" s="2174"/>
      <c r="U673" s="2174"/>
      <c r="V673" s="2174"/>
      <c r="W673" s="2174"/>
      <c r="X673" s="2174"/>
      <c r="Y673" s="2174"/>
      <c r="Z673" s="2174"/>
      <c r="AA673" s="2174"/>
      <c r="AB673" s="2174"/>
      <c r="AC673" s="2174"/>
    </row>
    <row r="674" spans="1:29">
      <c r="A674" s="2174"/>
      <c r="B674" s="2174"/>
      <c r="C674" s="2174"/>
      <c r="D674" s="2174"/>
      <c r="E674" s="2174"/>
      <c r="F674" s="2174"/>
      <c r="G674" s="2174"/>
      <c r="H674" s="2174"/>
      <c r="I674" s="2174"/>
      <c r="J674" s="2174"/>
      <c r="K674" s="2175"/>
      <c r="L674" s="2176"/>
      <c r="M674" s="2174"/>
      <c r="N674" s="2174"/>
      <c r="O674" s="2174"/>
      <c r="P674" s="2215"/>
      <c r="Q674" s="2174"/>
      <c r="R674" s="2174"/>
      <c r="S674" s="2174"/>
      <c r="T674" s="2174"/>
      <c r="U674" s="2174"/>
      <c r="V674" s="2174"/>
      <c r="W674" s="2174"/>
      <c r="X674" s="2174"/>
      <c r="Y674" s="2174"/>
      <c r="Z674" s="2174"/>
      <c r="AA674" s="2174"/>
      <c r="AB674" s="2174"/>
      <c r="AC674" s="2174"/>
    </row>
    <row r="675" spans="1:29">
      <c r="A675" s="2174"/>
      <c r="B675" s="2174"/>
      <c r="C675" s="2174"/>
      <c r="D675" s="2174"/>
      <c r="E675" s="2174"/>
      <c r="F675" s="2174"/>
      <c r="G675" s="2174"/>
      <c r="H675" s="2174"/>
      <c r="I675" s="2174"/>
      <c r="J675" s="2174"/>
      <c r="K675" s="2175"/>
      <c r="L675" s="2176"/>
      <c r="M675" s="2174"/>
      <c r="N675" s="2174"/>
      <c r="O675" s="2174"/>
      <c r="P675" s="2215"/>
      <c r="Q675" s="2174"/>
      <c r="R675" s="2174"/>
      <c r="S675" s="2174"/>
      <c r="T675" s="2174"/>
      <c r="U675" s="2174"/>
      <c r="V675" s="2174"/>
      <c r="W675" s="2174"/>
      <c r="X675" s="2174"/>
      <c r="Y675" s="2174"/>
      <c r="Z675" s="2174"/>
      <c r="AA675" s="2174"/>
      <c r="AB675" s="2174"/>
      <c r="AC675" s="2174"/>
    </row>
    <row r="676" spans="1:29">
      <c r="A676" s="2174"/>
      <c r="B676" s="2174"/>
      <c r="C676" s="2174"/>
      <c r="D676" s="2174"/>
      <c r="E676" s="2174"/>
      <c r="F676" s="2174"/>
      <c r="G676" s="2174"/>
      <c r="H676" s="2174"/>
      <c r="I676" s="2174"/>
      <c r="J676" s="2174"/>
      <c r="K676" s="2175"/>
      <c r="L676" s="2176"/>
      <c r="M676" s="2174"/>
      <c r="N676" s="2174"/>
      <c r="O676" s="2174"/>
      <c r="P676" s="2215"/>
      <c r="Q676" s="2174"/>
      <c r="R676" s="2174"/>
      <c r="S676" s="2174"/>
      <c r="T676" s="2174"/>
      <c r="U676" s="2174"/>
      <c r="V676" s="2174"/>
      <c r="W676" s="2174"/>
      <c r="X676" s="2174"/>
      <c r="Y676" s="2174"/>
      <c r="Z676" s="2174"/>
      <c r="AA676" s="2174"/>
      <c r="AB676" s="2174"/>
      <c r="AC676" s="2174"/>
    </row>
    <row r="677" spans="1:29">
      <c r="A677" s="2174"/>
      <c r="B677" s="2174"/>
      <c r="C677" s="2174"/>
      <c r="D677" s="2174"/>
      <c r="E677" s="2174"/>
      <c r="F677" s="2174"/>
      <c r="G677" s="2174"/>
      <c r="H677" s="2174"/>
      <c r="I677" s="2174"/>
      <c r="J677" s="2174"/>
      <c r="K677" s="2175"/>
      <c r="L677" s="2176"/>
      <c r="M677" s="2174"/>
      <c r="N677" s="2174"/>
      <c r="O677" s="2174"/>
      <c r="P677" s="2215"/>
      <c r="Q677" s="2174"/>
      <c r="R677" s="2174"/>
      <c r="S677" s="2174"/>
      <c r="T677" s="2174"/>
      <c r="U677" s="2174"/>
      <c r="V677" s="2174"/>
      <c r="W677" s="2174"/>
      <c r="X677" s="2174"/>
      <c r="Y677" s="2174"/>
      <c r="Z677" s="2174"/>
      <c r="AA677" s="2174"/>
      <c r="AB677" s="2174"/>
      <c r="AC677" s="2174"/>
    </row>
    <row r="678" spans="1:29">
      <c r="A678" s="2174"/>
      <c r="B678" s="2174"/>
      <c r="C678" s="2174"/>
      <c r="D678" s="2174"/>
      <c r="E678" s="2174"/>
      <c r="F678" s="2174"/>
      <c r="G678" s="2174"/>
      <c r="H678" s="2174"/>
      <c r="I678" s="2174"/>
      <c r="J678" s="2174"/>
      <c r="K678" s="2175"/>
      <c r="L678" s="2176"/>
      <c r="M678" s="2174"/>
      <c r="N678" s="2174"/>
      <c r="O678" s="2174"/>
      <c r="P678" s="2215"/>
      <c r="Q678" s="2174"/>
      <c r="R678" s="2174"/>
      <c r="S678" s="2174"/>
      <c r="T678" s="2174"/>
      <c r="U678" s="2174"/>
      <c r="V678" s="2174"/>
      <c r="W678" s="2174"/>
      <c r="X678" s="2174"/>
      <c r="Y678" s="2174"/>
      <c r="Z678" s="2174"/>
      <c r="AA678" s="2174"/>
      <c r="AB678" s="2174"/>
      <c r="AC678" s="2174"/>
    </row>
    <row r="679" spans="1:29">
      <c r="A679" s="2174"/>
      <c r="B679" s="2174"/>
      <c r="C679" s="2174"/>
      <c r="D679" s="2174"/>
      <c r="E679" s="2174"/>
      <c r="F679" s="2174"/>
      <c r="G679" s="2174"/>
      <c r="H679" s="2174"/>
      <c r="I679" s="2174"/>
      <c r="J679" s="2174"/>
      <c r="K679" s="2175"/>
      <c r="L679" s="2176"/>
      <c r="M679" s="2174"/>
      <c r="N679" s="2174"/>
      <c r="O679" s="2174"/>
      <c r="P679" s="2215"/>
      <c r="Q679" s="2174"/>
      <c r="R679" s="2174"/>
      <c r="S679" s="2174"/>
      <c r="T679" s="2174"/>
      <c r="U679" s="2174"/>
      <c r="V679" s="2174"/>
      <c r="W679" s="2174"/>
      <c r="X679" s="2174"/>
      <c r="Y679" s="2174"/>
      <c r="Z679" s="2174"/>
      <c r="AA679" s="2174"/>
      <c r="AB679" s="2174"/>
      <c r="AC679" s="2174"/>
    </row>
    <row r="680" spans="1:29">
      <c r="A680" s="2174"/>
      <c r="B680" s="2174"/>
      <c r="C680" s="2174"/>
      <c r="D680" s="2174"/>
      <c r="E680" s="2174"/>
      <c r="F680" s="2174"/>
      <c r="G680" s="2174"/>
      <c r="H680" s="2174"/>
      <c r="I680" s="2174"/>
      <c r="J680" s="2174"/>
      <c r="K680" s="2175"/>
      <c r="L680" s="2176"/>
      <c r="M680" s="2174"/>
      <c r="N680" s="2174"/>
      <c r="O680" s="2174"/>
      <c r="P680" s="2215"/>
      <c r="Q680" s="2174"/>
      <c r="R680" s="2174"/>
      <c r="S680" s="2174"/>
      <c r="T680" s="2174"/>
      <c r="U680" s="2174"/>
      <c r="V680" s="2174"/>
      <c r="W680" s="2174"/>
      <c r="X680" s="2174"/>
      <c r="Y680" s="2174"/>
      <c r="Z680" s="2174"/>
      <c r="AA680" s="2174"/>
      <c r="AB680" s="2174"/>
      <c r="AC680" s="2174"/>
    </row>
    <row r="681" spans="1:29">
      <c r="A681" s="2174"/>
      <c r="B681" s="2174"/>
      <c r="C681" s="2174"/>
      <c r="D681" s="2174"/>
      <c r="E681" s="2174"/>
      <c r="F681" s="2174"/>
      <c r="G681" s="2174"/>
      <c r="H681" s="2174"/>
      <c r="I681" s="2174"/>
      <c r="J681" s="2174"/>
      <c r="K681" s="2175"/>
      <c r="L681" s="2176"/>
      <c r="M681" s="2174"/>
      <c r="N681" s="2174"/>
      <c r="O681" s="2174"/>
      <c r="P681" s="2215"/>
      <c r="Q681" s="2174"/>
      <c r="R681" s="2174"/>
      <c r="S681" s="2174"/>
      <c r="T681" s="2174"/>
      <c r="U681" s="2174"/>
      <c r="V681" s="2174"/>
      <c r="W681" s="2174"/>
      <c r="X681" s="2174"/>
      <c r="Y681" s="2174"/>
      <c r="Z681" s="2174"/>
      <c r="AA681" s="2174"/>
      <c r="AB681" s="2174"/>
      <c r="AC681" s="2174"/>
    </row>
    <row r="682" spans="1:29">
      <c r="A682" s="2174"/>
      <c r="B682" s="2174"/>
      <c r="C682" s="2174"/>
      <c r="D682" s="2174"/>
      <c r="E682" s="2174"/>
      <c r="F682" s="2174"/>
      <c r="G682" s="2174"/>
      <c r="H682" s="2174"/>
      <c r="I682" s="2174"/>
      <c r="J682" s="2174"/>
      <c r="K682" s="2175"/>
      <c r="L682" s="2176"/>
      <c r="M682" s="2174"/>
      <c r="N682" s="2174"/>
      <c r="O682" s="2174"/>
      <c r="P682" s="2215"/>
      <c r="Q682" s="2174"/>
      <c r="R682" s="2174"/>
      <c r="S682" s="2174"/>
      <c r="T682" s="2174"/>
      <c r="U682" s="2174"/>
      <c r="V682" s="2174"/>
      <c r="W682" s="2174"/>
      <c r="X682" s="2174"/>
      <c r="Y682" s="2174"/>
      <c r="Z682" s="2174"/>
      <c r="AA682" s="2174"/>
      <c r="AB682" s="2174"/>
      <c r="AC682" s="2174"/>
    </row>
    <row r="683" spans="1:29">
      <c r="A683" s="2174"/>
      <c r="B683" s="2174"/>
      <c r="C683" s="2174"/>
      <c r="D683" s="2174"/>
      <c r="E683" s="2174"/>
      <c r="F683" s="2174"/>
      <c r="G683" s="2174"/>
      <c r="H683" s="2174"/>
      <c r="I683" s="2174"/>
      <c r="J683" s="2174"/>
      <c r="K683" s="2175"/>
      <c r="L683" s="2176"/>
      <c r="M683" s="2174"/>
      <c r="N683" s="2174"/>
      <c r="O683" s="2174"/>
      <c r="P683" s="2215"/>
      <c r="Q683" s="2174"/>
      <c r="R683" s="2174"/>
      <c r="S683" s="2174"/>
      <c r="T683" s="2174"/>
      <c r="U683" s="2174"/>
      <c r="V683" s="2174"/>
      <c r="W683" s="2174"/>
      <c r="X683" s="2174"/>
      <c r="Y683" s="2174"/>
      <c r="Z683" s="2174"/>
      <c r="AA683" s="2174"/>
      <c r="AB683" s="2174"/>
      <c r="AC683" s="2174"/>
    </row>
    <row r="684" spans="1:29">
      <c r="A684" s="2174"/>
      <c r="B684" s="2174"/>
      <c r="C684" s="2174"/>
      <c r="D684" s="2174"/>
      <c r="E684" s="2174"/>
      <c r="F684" s="2174"/>
      <c r="G684" s="2174"/>
      <c r="H684" s="2174"/>
      <c r="I684" s="2174"/>
      <c r="J684" s="2174"/>
      <c r="K684" s="2175"/>
      <c r="L684" s="2176"/>
      <c r="M684" s="2174"/>
      <c r="N684" s="2174"/>
      <c r="O684" s="2174"/>
      <c r="P684" s="2215"/>
      <c r="Q684" s="2174"/>
      <c r="R684" s="2174"/>
      <c r="S684" s="2174"/>
      <c r="T684" s="2174"/>
      <c r="U684" s="2174"/>
      <c r="V684" s="2174"/>
      <c r="W684" s="2174"/>
      <c r="X684" s="2174"/>
      <c r="Y684" s="2174"/>
      <c r="Z684" s="2174"/>
      <c r="AA684" s="2174"/>
      <c r="AB684" s="2174"/>
      <c r="AC684" s="2174"/>
    </row>
    <row r="685" spans="1:29">
      <c r="A685" s="2174"/>
      <c r="B685" s="2174"/>
      <c r="C685" s="2174"/>
      <c r="D685" s="2174"/>
      <c r="E685" s="2174"/>
      <c r="F685" s="2174"/>
      <c r="G685" s="2174"/>
      <c r="H685" s="2174"/>
      <c r="I685" s="2174"/>
      <c r="J685" s="2174"/>
      <c r="K685" s="2175"/>
      <c r="L685" s="2176"/>
      <c r="M685" s="2174"/>
      <c r="N685" s="2174"/>
      <c r="O685" s="2174"/>
      <c r="P685" s="2215"/>
      <c r="Q685" s="2174"/>
      <c r="R685" s="2174"/>
      <c r="S685" s="2174"/>
      <c r="T685" s="2174"/>
      <c r="U685" s="2174"/>
      <c r="V685" s="2174"/>
      <c r="W685" s="2174"/>
      <c r="X685" s="2174"/>
      <c r="Y685" s="2174"/>
      <c r="Z685" s="2174"/>
      <c r="AA685" s="2174"/>
      <c r="AB685" s="2174"/>
      <c r="AC685" s="2174"/>
    </row>
    <row r="686" spans="1:29">
      <c r="A686" s="2174"/>
      <c r="B686" s="2174"/>
      <c r="C686" s="2174"/>
      <c r="D686" s="2174"/>
      <c r="E686" s="2174"/>
      <c r="F686" s="2174"/>
      <c r="G686" s="2174"/>
      <c r="H686" s="2174"/>
      <c r="I686" s="2174"/>
      <c r="J686" s="2174"/>
      <c r="K686" s="2175"/>
      <c r="L686" s="2176"/>
      <c r="M686" s="2174"/>
      <c r="N686" s="2174"/>
      <c r="O686" s="2174"/>
      <c r="P686" s="2215"/>
      <c r="Q686" s="2174"/>
      <c r="R686" s="2174"/>
      <c r="S686" s="2174"/>
      <c r="T686" s="2174"/>
      <c r="U686" s="2174"/>
      <c r="V686" s="2174"/>
      <c r="W686" s="2174"/>
      <c r="X686" s="2174"/>
      <c r="Y686" s="2174"/>
      <c r="Z686" s="2174"/>
      <c r="AA686" s="2174"/>
      <c r="AB686" s="2174"/>
      <c r="AC686" s="2174"/>
    </row>
    <row r="687" spans="1:29">
      <c r="A687" s="2174"/>
      <c r="B687" s="2174"/>
      <c r="C687" s="2174"/>
      <c r="D687" s="2174"/>
      <c r="E687" s="2174"/>
      <c r="F687" s="2174"/>
      <c r="G687" s="2174"/>
      <c r="H687" s="2174"/>
      <c r="I687" s="2174"/>
      <c r="J687" s="2174"/>
      <c r="K687" s="2175"/>
      <c r="L687" s="2176"/>
      <c r="M687" s="2174"/>
      <c r="N687" s="2174"/>
      <c r="O687" s="2174"/>
      <c r="P687" s="2215"/>
      <c r="Q687" s="2174"/>
      <c r="R687" s="2174"/>
      <c r="S687" s="2174"/>
      <c r="T687" s="2174"/>
      <c r="U687" s="2174"/>
      <c r="V687" s="2174"/>
      <c r="W687" s="2174"/>
      <c r="X687" s="2174"/>
      <c r="Y687" s="2174"/>
      <c r="Z687" s="2174"/>
      <c r="AA687" s="2174"/>
      <c r="AB687" s="2174"/>
      <c r="AC687" s="2174"/>
    </row>
    <row r="688" spans="1:29">
      <c r="A688" s="2174"/>
      <c r="B688" s="2174"/>
      <c r="C688" s="2174"/>
      <c r="D688" s="2174"/>
      <c r="E688" s="2174"/>
      <c r="F688" s="2174"/>
      <c r="G688" s="2174"/>
      <c r="H688" s="2174"/>
      <c r="I688" s="2174"/>
      <c r="J688" s="2174"/>
      <c r="K688" s="2175"/>
      <c r="L688" s="2176"/>
      <c r="M688" s="2174"/>
      <c r="N688" s="2174"/>
      <c r="O688" s="2174"/>
      <c r="P688" s="2215"/>
      <c r="Q688" s="2174"/>
      <c r="R688" s="2174"/>
      <c r="S688" s="2174"/>
      <c r="T688" s="2174"/>
      <c r="U688" s="2174"/>
      <c r="V688" s="2174"/>
      <c r="W688" s="2174"/>
      <c r="X688" s="2174"/>
      <c r="Y688" s="2174"/>
      <c r="Z688" s="2174"/>
      <c r="AA688" s="2174"/>
      <c r="AB688" s="2174"/>
      <c r="AC688" s="2174"/>
    </row>
    <row r="689" spans="1:29">
      <c r="A689" s="2174"/>
      <c r="B689" s="2174"/>
      <c r="C689" s="2174"/>
      <c r="D689" s="2174"/>
      <c r="E689" s="2174"/>
      <c r="F689" s="2174"/>
      <c r="G689" s="2174"/>
      <c r="H689" s="2174"/>
      <c r="I689" s="2174"/>
      <c r="J689" s="2174"/>
      <c r="K689" s="2175"/>
      <c r="L689" s="2176"/>
      <c r="M689" s="2174"/>
      <c r="N689" s="2174"/>
      <c r="O689" s="2174"/>
      <c r="P689" s="2215"/>
      <c r="Q689" s="2174"/>
      <c r="R689" s="2174"/>
      <c r="S689" s="2174"/>
      <c r="T689" s="2174"/>
      <c r="U689" s="2174"/>
      <c r="V689" s="2174"/>
      <c r="W689" s="2174"/>
      <c r="X689" s="2174"/>
      <c r="Y689" s="2174"/>
      <c r="Z689" s="2174"/>
      <c r="AA689" s="2174"/>
      <c r="AB689" s="2174"/>
      <c r="AC689" s="2174"/>
    </row>
    <row r="690" spans="1:29">
      <c r="A690" s="2174"/>
      <c r="B690" s="2174"/>
      <c r="C690" s="2174"/>
      <c r="D690" s="2174"/>
      <c r="E690" s="2174"/>
      <c r="F690" s="2174"/>
      <c r="G690" s="2174"/>
      <c r="H690" s="2174"/>
      <c r="I690" s="2174"/>
      <c r="J690" s="2174"/>
      <c r="K690" s="2175"/>
      <c r="L690" s="2176"/>
      <c r="M690" s="2174"/>
      <c r="N690" s="2174"/>
      <c r="O690" s="2174"/>
      <c r="P690" s="2215"/>
      <c r="Q690" s="2174"/>
      <c r="R690" s="2174"/>
      <c r="S690" s="2174"/>
      <c r="T690" s="2174"/>
      <c r="U690" s="2174"/>
      <c r="V690" s="2174"/>
      <c r="W690" s="2174"/>
      <c r="X690" s="2174"/>
      <c r="Y690" s="2174"/>
      <c r="Z690" s="2174"/>
      <c r="AA690" s="2174"/>
      <c r="AB690" s="2174"/>
      <c r="AC690" s="2174"/>
    </row>
    <row r="691" spans="1:29">
      <c r="A691" s="2174"/>
      <c r="B691" s="2174"/>
      <c r="C691" s="2174"/>
      <c r="D691" s="2174"/>
      <c r="E691" s="2174"/>
      <c r="F691" s="2174"/>
      <c r="G691" s="2174"/>
      <c r="H691" s="2174"/>
      <c r="I691" s="2174"/>
      <c r="J691" s="2174"/>
      <c r="K691" s="2175"/>
      <c r="L691" s="2176"/>
      <c r="M691" s="2174"/>
      <c r="N691" s="2174"/>
      <c r="O691" s="2174"/>
      <c r="P691" s="2215"/>
      <c r="Q691" s="2174"/>
      <c r="R691" s="2174"/>
      <c r="S691" s="2174"/>
      <c r="T691" s="2174"/>
      <c r="U691" s="2174"/>
      <c r="V691" s="2174"/>
      <c r="W691" s="2174"/>
      <c r="X691" s="2174"/>
      <c r="Y691" s="2174"/>
      <c r="Z691" s="2174"/>
      <c r="AA691" s="2174"/>
      <c r="AB691" s="2174"/>
      <c r="AC691" s="2174"/>
    </row>
    <row r="692" spans="1:29">
      <c r="A692" s="2174"/>
      <c r="B692" s="2174"/>
      <c r="C692" s="2174"/>
      <c r="D692" s="2174"/>
      <c r="E692" s="2174"/>
      <c r="F692" s="2174"/>
      <c r="G692" s="2174"/>
      <c r="H692" s="2174"/>
      <c r="I692" s="2174"/>
      <c r="J692" s="2174"/>
      <c r="K692" s="2175"/>
      <c r="L692" s="2176"/>
      <c r="M692" s="2174"/>
      <c r="N692" s="2174"/>
      <c r="O692" s="2174"/>
      <c r="P692" s="2215"/>
      <c r="Q692" s="2174"/>
      <c r="R692" s="2174"/>
      <c r="S692" s="2174"/>
      <c r="T692" s="2174"/>
      <c r="U692" s="2174"/>
      <c r="V692" s="2174"/>
      <c r="W692" s="2174"/>
      <c r="X692" s="2174"/>
      <c r="Y692" s="2174"/>
      <c r="Z692" s="2174"/>
      <c r="AA692" s="2174"/>
      <c r="AB692" s="2174"/>
      <c r="AC692" s="2174"/>
    </row>
    <row r="693" spans="1:29">
      <c r="A693" s="2174"/>
      <c r="B693" s="2174"/>
      <c r="C693" s="2174"/>
      <c r="D693" s="2174"/>
      <c r="E693" s="2174"/>
      <c r="F693" s="2174"/>
      <c r="G693" s="2174"/>
      <c r="H693" s="2174"/>
      <c r="I693" s="2174"/>
      <c r="J693" s="2174"/>
      <c r="K693" s="2175"/>
      <c r="L693" s="2176"/>
      <c r="M693" s="2174"/>
      <c r="N693" s="2174"/>
      <c r="O693" s="2174"/>
      <c r="P693" s="2215"/>
      <c r="Q693" s="2174"/>
      <c r="R693" s="2174"/>
      <c r="S693" s="2174"/>
      <c r="T693" s="2174"/>
      <c r="U693" s="2174"/>
      <c r="V693" s="2174"/>
      <c r="W693" s="2174"/>
      <c r="X693" s="2174"/>
      <c r="Y693" s="2174"/>
      <c r="Z693" s="2174"/>
      <c r="AA693" s="2174"/>
      <c r="AB693" s="2174"/>
      <c r="AC693" s="2174"/>
    </row>
    <row r="694" spans="1:29">
      <c r="A694" s="2174"/>
      <c r="B694" s="2174"/>
      <c r="C694" s="2174"/>
      <c r="D694" s="2174"/>
      <c r="E694" s="2174"/>
      <c r="F694" s="2174"/>
      <c r="G694" s="2174"/>
      <c r="H694" s="2174"/>
      <c r="I694" s="2174"/>
      <c r="J694" s="2174"/>
      <c r="K694" s="2175"/>
      <c r="L694" s="2176"/>
      <c r="M694" s="2174"/>
      <c r="N694" s="2174"/>
      <c r="O694" s="2174"/>
      <c r="P694" s="2215"/>
      <c r="Q694" s="2174"/>
      <c r="R694" s="2174"/>
      <c r="S694" s="2174"/>
      <c r="T694" s="2174"/>
      <c r="U694" s="2174"/>
      <c r="V694" s="2174"/>
      <c r="W694" s="2174"/>
      <c r="X694" s="2174"/>
      <c r="Y694" s="2174"/>
      <c r="Z694" s="2174"/>
      <c r="AA694" s="2174"/>
      <c r="AB694" s="2174"/>
      <c r="AC694" s="2174"/>
    </row>
    <row r="695" spans="1:29">
      <c r="A695" s="2174"/>
      <c r="B695" s="2174"/>
      <c r="C695" s="2174"/>
      <c r="D695" s="2174"/>
      <c r="E695" s="2174"/>
      <c r="F695" s="2174"/>
      <c r="G695" s="2174"/>
      <c r="H695" s="2174"/>
      <c r="I695" s="2174"/>
      <c r="J695" s="2174"/>
      <c r="K695" s="2175"/>
      <c r="L695" s="2176"/>
      <c r="M695" s="2174"/>
      <c r="N695" s="2174"/>
      <c r="O695" s="2174"/>
      <c r="P695" s="2215"/>
      <c r="Q695" s="2174"/>
      <c r="R695" s="2174"/>
      <c r="S695" s="2174"/>
      <c r="T695" s="2174"/>
      <c r="U695" s="2174"/>
      <c r="V695" s="2174"/>
      <c r="W695" s="2174"/>
      <c r="X695" s="2174"/>
      <c r="Y695" s="2174"/>
      <c r="Z695" s="2174"/>
      <c r="AA695" s="2174"/>
      <c r="AB695" s="2174"/>
      <c r="AC695" s="2174"/>
    </row>
    <row r="696" spans="1:29">
      <c r="A696" s="2174"/>
      <c r="B696" s="2174"/>
      <c r="C696" s="2174"/>
      <c r="D696" s="2174"/>
      <c r="E696" s="2174"/>
      <c r="F696" s="2174"/>
      <c r="G696" s="2174"/>
      <c r="H696" s="2174"/>
      <c r="I696" s="2174"/>
      <c r="J696" s="2174"/>
      <c r="K696" s="2175"/>
      <c r="L696" s="2176"/>
      <c r="M696" s="2174"/>
      <c r="N696" s="2174"/>
      <c r="O696" s="2174"/>
      <c r="P696" s="2215"/>
      <c r="Q696" s="2174"/>
      <c r="R696" s="2174"/>
      <c r="S696" s="2174"/>
      <c r="T696" s="2174"/>
      <c r="U696" s="2174"/>
      <c r="V696" s="2174"/>
      <c r="W696" s="2174"/>
      <c r="X696" s="2174"/>
      <c r="Y696" s="2174"/>
      <c r="Z696" s="2174"/>
      <c r="AA696" s="2174"/>
      <c r="AB696" s="2174"/>
      <c r="AC696" s="2174"/>
    </row>
    <row r="697" spans="1:29">
      <c r="A697" s="2174"/>
      <c r="B697" s="2174"/>
      <c r="C697" s="2174"/>
      <c r="D697" s="2174"/>
      <c r="E697" s="2174"/>
      <c r="F697" s="2174"/>
      <c r="G697" s="2174"/>
      <c r="H697" s="2174"/>
      <c r="I697" s="2174"/>
      <c r="J697" s="2174"/>
      <c r="K697" s="2175"/>
      <c r="L697" s="2176"/>
      <c r="M697" s="2174"/>
      <c r="N697" s="2174"/>
      <c r="O697" s="2174"/>
      <c r="P697" s="2215"/>
      <c r="Q697" s="2174"/>
      <c r="R697" s="2174"/>
      <c r="S697" s="2174"/>
      <c r="T697" s="2174"/>
      <c r="U697" s="2174"/>
      <c r="V697" s="2174"/>
      <c r="W697" s="2174"/>
      <c r="X697" s="2174"/>
      <c r="Y697" s="2174"/>
      <c r="Z697" s="2174"/>
      <c r="AA697" s="2174"/>
      <c r="AB697" s="2174"/>
      <c r="AC697" s="2174"/>
    </row>
    <row r="698" spans="1:29">
      <c r="A698" s="2174"/>
      <c r="B698" s="2174"/>
      <c r="C698" s="2174"/>
      <c r="D698" s="2174"/>
      <c r="E698" s="2174"/>
      <c r="F698" s="2174"/>
      <c r="G698" s="2174"/>
      <c r="H698" s="2174"/>
      <c r="I698" s="2174"/>
      <c r="J698" s="2174"/>
      <c r="K698" s="2175"/>
      <c r="L698" s="2176"/>
      <c r="M698" s="2174"/>
      <c r="N698" s="2174"/>
      <c r="O698" s="2174"/>
      <c r="P698" s="2215"/>
      <c r="Q698" s="2174"/>
      <c r="R698" s="2174"/>
      <c r="S698" s="2174"/>
      <c r="T698" s="2174"/>
      <c r="U698" s="2174"/>
      <c r="V698" s="2174"/>
      <c r="W698" s="2174"/>
      <c r="X698" s="2174"/>
      <c r="Y698" s="2174"/>
      <c r="Z698" s="2174"/>
      <c r="AA698" s="2174"/>
      <c r="AB698" s="2174"/>
      <c r="AC698" s="2174"/>
    </row>
    <row r="699" spans="1:29">
      <c r="A699" s="2174"/>
      <c r="B699" s="2174"/>
      <c r="C699" s="2174"/>
      <c r="D699" s="2174"/>
      <c r="E699" s="2174"/>
      <c r="F699" s="2174"/>
      <c r="G699" s="2174"/>
      <c r="H699" s="2174"/>
      <c r="I699" s="2174"/>
      <c r="J699" s="2174"/>
      <c r="K699" s="2175"/>
      <c r="L699" s="2176"/>
      <c r="M699" s="2174"/>
      <c r="N699" s="2174"/>
      <c r="O699" s="2174"/>
      <c r="P699" s="2215"/>
      <c r="Q699" s="2174"/>
      <c r="R699" s="2174"/>
      <c r="S699" s="2174"/>
      <c r="T699" s="2174"/>
      <c r="U699" s="2174"/>
      <c r="V699" s="2174"/>
      <c r="W699" s="2174"/>
      <c r="X699" s="2174"/>
      <c r="Y699" s="2174"/>
      <c r="Z699" s="2174"/>
      <c r="AA699" s="2174"/>
      <c r="AB699" s="2174"/>
      <c r="AC699" s="2174"/>
    </row>
    <row r="700" spans="1:29">
      <c r="A700" s="2174"/>
      <c r="B700" s="2174"/>
      <c r="C700" s="2174"/>
      <c r="D700" s="2174"/>
      <c r="E700" s="2174"/>
      <c r="F700" s="2174"/>
      <c r="G700" s="2174"/>
      <c r="H700" s="2174"/>
      <c r="I700" s="2174"/>
      <c r="J700" s="2174"/>
      <c r="K700" s="2175"/>
      <c r="L700" s="2176"/>
      <c r="M700" s="2174"/>
      <c r="N700" s="2174"/>
      <c r="O700" s="2174"/>
      <c r="P700" s="2215"/>
      <c r="Q700" s="2174"/>
      <c r="R700" s="2174"/>
      <c r="S700" s="2174"/>
      <c r="T700" s="2174"/>
      <c r="U700" s="2174"/>
      <c r="V700" s="2174"/>
      <c r="W700" s="2174"/>
      <c r="X700" s="2174"/>
      <c r="Y700" s="2174"/>
      <c r="Z700" s="2174"/>
      <c r="AA700" s="2174"/>
      <c r="AB700" s="2174"/>
      <c r="AC700" s="2174"/>
    </row>
    <row r="701" spans="1:29">
      <c r="A701" s="2174"/>
      <c r="B701" s="2174"/>
      <c r="C701" s="2174"/>
      <c r="D701" s="2174"/>
      <c r="E701" s="2174"/>
      <c r="F701" s="2174"/>
      <c r="G701" s="2174"/>
      <c r="H701" s="2174"/>
      <c r="I701" s="2174"/>
      <c r="J701" s="2174"/>
      <c r="K701" s="2175"/>
      <c r="L701" s="2176"/>
      <c r="M701" s="2174"/>
      <c r="N701" s="2174"/>
      <c r="O701" s="2174"/>
      <c r="P701" s="2215"/>
      <c r="Q701" s="2174"/>
      <c r="R701" s="2174"/>
      <c r="S701" s="2174"/>
      <c r="T701" s="2174"/>
      <c r="U701" s="2174"/>
      <c r="V701" s="2174"/>
      <c r="W701" s="2174"/>
      <c r="X701" s="2174"/>
      <c r="Y701" s="2174"/>
      <c r="Z701" s="2174"/>
      <c r="AA701" s="2174"/>
      <c r="AB701" s="2174"/>
      <c r="AC701" s="2174"/>
    </row>
    <row r="702" spans="1:29">
      <c r="A702" s="2174"/>
      <c r="B702" s="2174"/>
      <c r="C702" s="2174"/>
      <c r="D702" s="2174"/>
      <c r="E702" s="2174"/>
      <c r="F702" s="2174"/>
      <c r="G702" s="2174"/>
      <c r="H702" s="2174"/>
      <c r="I702" s="2174"/>
      <c r="J702" s="2174"/>
      <c r="K702" s="2175"/>
      <c r="L702" s="2176"/>
      <c r="M702" s="2174"/>
      <c r="N702" s="2174"/>
      <c r="O702" s="2174"/>
      <c r="P702" s="2215"/>
      <c r="Q702" s="2174"/>
      <c r="R702" s="2174"/>
      <c r="S702" s="2174"/>
      <c r="T702" s="2174"/>
      <c r="U702" s="2174"/>
      <c r="V702" s="2174"/>
      <c r="W702" s="2174"/>
      <c r="X702" s="2174"/>
      <c r="Y702" s="2174"/>
      <c r="Z702" s="2174"/>
      <c r="AA702" s="2174"/>
      <c r="AB702" s="2174"/>
      <c r="AC702" s="2174"/>
    </row>
    <row r="703" spans="1:29">
      <c r="A703" s="2174"/>
      <c r="B703" s="2174"/>
      <c r="C703" s="2174"/>
      <c r="D703" s="2174"/>
      <c r="E703" s="2174"/>
      <c r="F703" s="2174"/>
      <c r="G703" s="2174"/>
      <c r="H703" s="2174"/>
      <c r="I703" s="2174"/>
      <c r="J703" s="2174"/>
      <c r="K703" s="2175"/>
      <c r="L703" s="2176"/>
      <c r="M703" s="2174"/>
      <c r="N703" s="2174"/>
      <c r="O703" s="2174"/>
      <c r="P703" s="2215"/>
      <c r="Q703" s="2174"/>
      <c r="R703" s="2174"/>
      <c r="S703" s="2174"/>
      <c r="T703" s="2174"/>
      <c r="U703" s="2174"/>
      <c r="V703" s="2174"/>
      <c r="W703" s="2174"/>
      <c r="X703" s="2174"/>
      <c r="Y703" s="2174"/>
      <c r="Z703" s="2174"/>
      <c r="AA703" s="2174"/>
      <c r="AB703" s="2174"/>
      <c r="AC703" s="2174"/>
    </row>
    <row r="704" spans="1:29">
      <c r="A704" s="2174"/>
      <c r="B704" s="2174"/>
      <c r="C704" s="2174"/>
      <c r="D704" s="2174"/>
      <c r="E704" s="2174"/>
      <c r="F704" s="2174"/>
      <c r="G704" s="2174"/>
      <c r="H704" s="2174"/>
      <c r="I704" s="2174"/>
      <c r="J704" s="2174"/>
      <c r="K704" s="2175"/>
      <c r="L704" s="2176"/>
      <c r="M704" s="2174"/>
      <c r="N704" s="2174"/>
      <c r="O704" s="2174"/>
      <c r="P704" s="2215"/>
      <c r="Q704" s="2174"/>
      <c r="R704" s="2174"/>
      <c r="S704" s="2174"/>
      <c r="T704" s="2174"/>
      <c r="U704" s="2174"/>
      <c r="V704" s="2174"/>
      <c r="W704" s="2174"/>
      <c r="X704" s="2174"/>
      <c r="Y704" s="2174"/>
      <c r="Z704" s="2174"/>
      <c r="AA704" s="2174"/>
      <c r="AB704" s="2174"/>
      <c r="AC704" s="2174"/>
    </row>
    <row r="705" spans="1:29">
      <c r="A705" s="2174"/>
      <c r="B705" s="2174"/>
      <c r="C705" s="2174"/>
      <c r="D705" s="2174"/>
      <c r="E705" s="2174"/>
      <c r="F705" s="2174"/>
      <c r="G705" s="2174"/>
      <c r="H705" s="2174"/>
      <c r="I705" s="2174"/>
      <c r="J705" s="2174"/>
      <c r="K705" s="2175"/>
      <c r="L705" s="2176"/>
      <c r="M705" s="2174"/>
      <c r="N705" s="2174"/>
      <c r="O705" s="2174"/>
      <c r="P705" s="2215"/>
      <c r="Q705" s="2174"/>
      <c r="R705" s="2174"/>
      <c r="S705" s="2174"/>
      <c r="T705" s="2174"/>
      <c r="U705" s="2174"/>
      <c r="V705" s="2174"/>
      <c r="W705" s="2174"/>
      <c r="X705" s="2174"/>
      <c r="Y705" s="2174"/>
      <c r="Z705" s="2174"/>
      <c r="AA705" s="2174"/>
      <c r="AB705" s="2174"/>
      <c r="AC705" s="2174"/>
    </row>
    <row r="706" spans="1:29">
      <c r="A706" s="2174"/>
      <c r="B706" s="2174"/>
      <c r="C706" s="2174"/>
      <c r="D706" s="2174"/>
      <c r="E706" s="2174"/>
      <c r="F706" s="2174"/>
      <c r="G706" s="2174"/>
      <c r="H706" s="2174"/>
      <c r="I706" s="2174"/>
      <c r="J706" s="2174"/>
      <c r="K706" s="2175"/>
      <c r="L706" s="2176"/>
      <c r="M706" s="2174"/>
      <c r="N706" s="2174"/>
      <c r="O706" s="2174"/>
      <c r="P706" s="2215"/>
      <c r="Q706" s="2174"/>
      <c r="R706" s="2174"/>
      <c r="S706" s="2174"/>
      <c r="T706" s="2174"/>
      <c r="U706" s="2174"/>
      <c r="V706" s="2174"/>
      <c r="W706" s="2174"/>
      <c r="X706" s="2174"/>
      <c r="Y706" s="2174"/>
      <c r="Z706" s="2174"/>
      <c r="AA706" s="2174"/>
      <c r="AB706" s="2174"/>
      <c r="AC706" s="2174"/>
    </row>
    <row r="707" spans="1:29">
      <c r="A707" s="2174"/>
      <c r="B707" s="2174"/>
      <c r="C707" s="2174"/>
      <c r="D707" s="2174"/>
      <c r="E707" s="2174"/>
      <c r="F707" s="2174"/>
      <c r="G707" s="2174"/>
      <c r="H707" s="2174"/>
      <c r="I707" s="2174"/>
      <c r="J707" s="2174"/>
      <c r="K707" s="2175"/>
      <c r="L707" s="2176"/>
      <c r="M707" s="2174"/>
      <c r="N707" s="2174"/>
      <c r="O707" s="2174"/>
      <c r="P707" s="2215"/>
      <c r="Q707" s="2174"/>
      <c r="R707" s="2174"/>
      <c r="S707" s="2174"/>
      <c r="T707" s="2174"/>
      <c r="U707" s="2174"/>
      <c r="V707" s="2174"/>
      <c r="W707" s="2174"/>
      <c r="X707" s="2174"/>
      <c r="Y707" s="2174"/>
      <c r="Z707" s="2174"/>
      <c r="AA707" s="2174"/>
      <c r="AB707" s="2174"/>
      <c r="AC707" s="2174"/>
    </row>
    <row r="708" spans="1:29">
      <c r="A708" s="2174"/>
      <c r="B708" s="2174"/>
      <c r="C708" s="2174"/>
      <c r="D708" s="2174"/>
      <c r="E708" s="2174"/>
      <c r="F708" s="2174"/>
      <c r="G708" s="2174"/>
      <c r="H708" s="2174"/>
      <c r="I708" s="2174"/>
      <c r="J708" s="2174"/>
      <c r="K708" s="2175"/>
      <c r="L708" s="2176"/>
      <c r="M708" s="2174"/>
      <c r="N708" s="2174"/>
      <c r="O708" s="2174"/>
      <c r="P708" s="2215"/>
      <c r="Q708" s="2174"/>
      <c r="R708" s="2174"/>
      <c r="S708" s="2174"/>
      <c r="T708" s="2174"/>
      <c r="U708" s="2174"/>
      <c r="V708" s="2174"/>
      <c r="W708" s="2174"/>
      <c r="X708" s="2174"/>
      <c r="Y708" s="2174"/>
      <c r="Z708" s="2174"/>
      <c r="AA708" s="2174"/>
      <c r="AB708" s="2174"/>
      <c r="AC708" s="2174"/>
    </row>
    <row r="709" spans="1:29">
      <c r="A709" s="2174"/>
      <c r="B709" s="2174"/>
      <c r="C709" s="2174"/>
      <c r="D709" s="2174"/>
      <c r="E709" s="2174"/>
      <c r="F709" s="2174"/>
      <c r="G709" s="2174"/>
      <c r="H709" s="2174"/>
      <c r="I709" s="2174"/>
      <c r="J709" s="2174"/>
      <c r="K709" s="2175"/>
      <c r="L709" s="2176"/>
      <c r="M709" s="2174"/>
      <c r="N709" s="2174"/>
      <c r="O709" s="2174"/>
      <c r="P709" s="2215"/>
      <c r="Q709" s="2174"/>
      <c r="R709" s="2174"/>
      <c r="S709" s="2174"/>
      <c r="T709" s="2174"/>
      <c r="U709" s="2174"/>
      <c r="V709" s="2174"/>
      <c r="W709" s="2174"/>
      <c r="X709" s="2174"/>
      <c r="Y709" s="2174"/>
      <c r="Z709" s="2174"/>
      <c r="AA709" s="2174"/>
      <c r="AB709" s="2174"/>
      <c r="AC709" s="2174"/>
    </row>
    <row r="710" spans="1:29">
      <c r="A710" s="2174"/>
      <c r="B710" s="2174"/>
      <c r="C710" s="2174"/>
      <c r="D710" s="2174"/>
      <c r="E710" s="2174"/>
      <c r="F710" s="2174"/>
      <c r="G710" s="2174"/>
      <c r="H710" s="2174"/>
      <c r="I710" s="2174"/>
      <c r="J710" s="2174"/>
      <c r="K710" s="2175"/>
      <c r="L710" s="2176"/>
      <c r="M710" s="2174"/>
      <c r="N710" s="2174"/>
      <c r="O710" s="2174"/>
      <c r="P710" s="2215"/>
      <c r="Q710" s="2174"/>
      <c r="R710" s="2174"/>
      <c r="S710" s="2174"/>
      <c r="T710" s="2174"/>
      <c r="U710" s="2174"/>
      <c r="V710" s="2174"/>
      <c r="W710" s="2174"/>
      <c r="X710" s="2174"/>
      <c r="Y710" s="2174"/>
      <c r="Z710" s="2174"/>
      <c r="AA710" s="2174"/>
      <c r="AB710" s="2174"/>
      <c r="AC710" s="2174"/>
    </row>
    <row r="711" spans="1:29">
      <c r="A711" s="2174"/>
      <c r="B711" s="2174"/>
      <c r="C711" s="2174"/>
      <c r="D711" s="2174"/>
      <c r="E711" s="2174"/>
      <c r="F711" s="2174"/>
      <c r="G711" s="2174"/>
      <c r="H711" s="2174"/>
      <c r="I711" s="2174"/>
      <c r="J711" s="2174"/>
      <c r="K711" s="2175"/>
      <c r="L711" s="2176"/>
      <c r="M711" s="2174"/>
      <c r="N711" s="2174"/>
      <c r="O711" s="2174"/>
      <c r="P711" s="2215"/>
      <c r="Q711" s="2174"/>
      <c r="R711" s="2174"/>
      <c r="S711" s="2174"/>
      <c r="T711" s="2174"/>
      <c r="U711" s="2174"/>
      <c r="V711" s="2174"/>
      <c r="W711" s="2174"/>
      <c r="X711" s="2174"/>
      <c r="Y711" s="2174"/>
      <c r="Z711" s="2174"/>
      <c r="AA711" s="2174"/>
      <c r="AB711" s="2174"/>
      <c r="AC711" s="2174"/>
    </row>
    <row r="712" spans="1:29">
      <c r="A712" s="2174"/>
      <c r="B712" s="2174"/>
      <c r="C712" s="2174"/>
      <c r="D712" s="2174"/>
      <c r="E712" s="2174"/>
      <c r="F712" s="2174"/>
      <c r="G712" s="2174"/>
      <c r="H712" s="2174"/>
      <c r="I712" s="2174"/>
      <c r="J712" s="2174"/>
      <c r="K712" s="2175"/>
      <c r="L712" s="2176"/>
      <c r="M712" s="2174"/>
      <c r="N712" s="2174"/>
      <c r="O712" s="2174"/>
      <c r="P712" s="2215"/>
      <c r="Q712" s="2174"/>
      <c r="R712" s="2174"/>
      <c r="S712" s="2174"/>
      <c r="T712" s="2174"/>
      <c r="U712" s="2174"/>
      <c r="V712" s="2174"/>
      <c r="W712" s="2174"/>
      <c r="X712" s="2174"/>
      <c r="Y712" s="2174"/>
      <c r="Z712" s="2174"/>
      <c r="AA712" s="2174"/>
      <c r="AB712" s="2174"/>
      <c r="AC712" s="2174"/>
    </row>
    <row r="713" spans="1:29">
      <c r="A713" s="2174"/>
      <c r="B713" s="2174"/>
      <c r="C713" s="2174"/>
      <c r="D713" s="2174"/>
      <c r="E713" s="2174"/>
      <c r="F713" s="2174"/>
      <c r="G713" s="2174"/>
      <c r="H713" s="2174"/>
      <c r="I713" s="2174"/>
      <c r="J713" s="2174"/>
      <c r="K713" s="2175"/>
      <c r="L713" s="2176"/>
      <c r="M713" s="2174"/>
      <c r="N713" s="2174"/>
      <c r="O713" s="2174"/>
      <c r="P713" s="2215"/>
      <c r="Q713" s="2174"/>
      <c r="R713" s="2174"/>
      <c r="S713" s="2174"/>
      <c r="T713" s="2174"/>
      <c r="U713" s="2174"/>
      <c r="V713" s="2174"/>
      <c r="W713" s="2174"/>
      <c r="X713" s="2174"/>
      <c r="Y713" s="2174"/>
      <c r="Z713" s="2174"/>
      <c r="AA713" s="2174"/>
      <c r="AB713" s="2174"/>
      <c r="AC713" s="2174"/>
    </row>
    <row r="714" spans="1:29">
      <c r="A714" s="2174"/>
      <c r="B714" s="2174"/>
      <c r="C714" s="2174"/>
      <c r="D714" s="2174"/>
      <c r="E714" s="2174"/>
      <c r="F714" s="2174"/>
      <c r="G714" s="2174"/>
      <c r="H714" s="2174"/>
      <c r="I714" s="2174"/>
      <c r="J714" s="2174"/>
      <c r="K714" s="2175"/>
      <c r="L714" s="2176"/>
      <c r="M714" s="2174"/>
      <c r="N714" s="2174"/>
      <c r="O714" s="2174"/>
      <c r="P714" s="2215"/>
      <c r="Q714" s="2174"/>
      <c r="R714" s="2174"/>
      <c r="S714" s="2174"/>
      <c r="T714" s="2174"/>
      <c r="U714" s="2174"/>
      <c r="V714" s="2174"/>
      <c r="W714" s="2174"/>
      <c r="X714" s="2174"/>
      <c r="Y714" s="2174"/>
      <c r="Z714" s="2174"/>
      <c r="AA714" s="2174"/>
      <c r="AB714" s="2174"/>
      <c r="AC714" s="2174"/>
    </row>
    <row r="715" spans="1:29">
      <c r="A715" s="2174"/>
      <c r="B715" s="2174"/>
      <c r="C715" s="2174"/>
      <c r="D715" s="2174"/>
      <c r="E715" s="2174"/>
      <c r="F715" s="2174"/>
      <c r="G715" s="2174"/>
      <c r="H715" s="2174"/>
      <c r="I715" s="2174"/>
      <c r="J715" s="2174"/>
      <c r="K715" s="2175"/>
      <c r="L715" s="2176"/>
      <c r="M715" s="2174"/>
      <c r="N715" s="2174"/>
      <c r="O715" s="2174"/>
      <c r="P715" s="2215"/>
      <c r="Q715" s="2174"/>
      <c r="R715" s="2174"/>
      <c r="S715" s="2174"/>
      <c r="T715" s="2174"/>
      <c r="U715" s="2174"/>
      <c r="V715" s="2174"/>
      <c r="W715" s="2174"/>
      <c r="X715" s="2174"/>
      <c r="Y715" s="2174"/>
      <c r="Z715" s="2174"/>
      <c r="AA715" s="2174"/>
      <c r="AB715" s="2174"/>
      <c r="AC715" s="2174"/>
    </row>
    <row r="716" spans="1:29">
      <c r="A716" s="2174"/>
      <c r="B716" s="2174"/>
      <c r="C716" s="2174"/>
      <c r="D716" s="2174"/>
      <c r="E716" s="2174"/>
      <c r="F716" s="2174"/>
      <c r="G716" s="2174"/>
      <c r="H716" s="2174"/>
      <c r="I716" s="2174"/>
      <c r="J716" s="2174"/>
      <c r="K716" s="2175"/>
      <c r="L716" s="2176"/>
      <c r="M716" s="2174"/>
      <c r="N716" s="2174"/>
      <c r="O716" s="2174"/>
      <c r="P716" s="2215"/>
      <c r="Q716" s="2174"/>
      <c r="R716" s="2174"/>
      <c r="S716" s="2174"/>
      <c r="T716" s="2174"/>
      <c r="U716" s="2174"/>
      <c r="V716" s="2174"/>
      <c r="W716" s="2174"/>
      <c r="X716" s="2174"/>
      <c r="Y716" s="2174"/>
      <c r="Z716" s="2174"/>
      <c r="AA716" s="2174"/>
      <c r="AB716" s="2174"/>
      <c r="AC716" s="2174"/>
    </row>
    <row r="717" spans="1:29">
      <c r="A717" s="2174"/>
      <c r="B717" s="2174"/>
      <c r="C717" s="2174"/>
      <c r="D717" s="2174"/>
      <c r="E717" s="2174"/>
      <c r="F717" s="2174"/>
      <c r="G717" s="2174"/>
      <c r="H717" s="2174"/>
      <c r="I717" s="2174"/>
      <c r="J717" s="2174"/>
      <c r="K717" s="2175"/>
      <c r="L717" s="2176"/>
      <c r="M717" s="2174"/>
      <c r="N717" s="2174"/>
      <c r="O717" s="2174"/>
      <c r="P717" s="2215"/>
      <c r="Q717" s="2174"/>
      <c r="R717" s="2174"/>
      <c r="S717" s="2174"/>
      <c r="T717" s="2174"/>
      <c r="U717" s="2174"/>
      <c r="V717" s="2174"/>
      <c r="W717" s="2174"/>
      <c r="X717" s="2174"/>
      <c r="Y717" s="2174"/>
      <c r="Z717" s="2174"/>
      <c r="AA717" s="2174"/>
      <c r="AB717" s="2174"/>
      <c r="AC717" s="2174"/>
    </row>
    <row r="718" spans="1:29">
      <c r="A718" s="2174"/>
      <c r="B718" s="2174"/>
      <c r="C718" s="2174"/>
      <c r="D718" s="2174"/>
      <c r="E718" s="2174"/>
      <c r="F718" s="2174"/>
      <c r="G718" s="2174"/>
      <c r="H718" s="2174"/>
      <c r="I718" s="2174"/>
      <c r="J718" s="2174"/>
      <c r="K718" s="2175"/>
      <c r="L718" s="2176"/>
      <c r="M718" s="2174"/>
      <c r="N718" s="2174"/>
      <c r="O718" s="2174"/>
      <c r="P718" s="2215"/>
      <c r="Q718" s="2174"/>
      <c r="R718" s="2174"/>
      <c r="S718" s="2174"/>
      <c r="T718" s="2174"/>
      <c r="U718" s="2174"/>
      <c r="V718" s="2174"/>
      <c r="W718" s="2174"/>
      <c r="X718" s="2174"/>
      <c r="Y718" s="2174"/>
      <c r="Z718" s="2174"/>
      <c r="AA718" s="2174"/>
      <c r="AB718" s="2174"/>
      <c r="AC718" s="2174"/>
    </row>
    <row r="719" spans="1:29">
      <c r="A719" s="2174"/>
      <c r="B719" s="2174"/>
      <c r="C719" s="2174"/>
      <c r="D719" s="2174"/>
      <c r="E719" s="2174"/>
      <c r="F719" s="2174"/>
      <c r="G719" s="2174"/>
      <c r="H719" s="2174"/>
      <c r="I719" s="2174"/>
      <c r="J719" s="2174"/>
      <c r="K719" s="2175"/>
      <c r="L719" s="2176"/>
      <c r="M719" s="2174"/>
      <c r="N719" s="2174"/>
      <c r="O719" s="2174"/>
      <c r="P719" s="2215"/>
      <c r="Q719" s="2174"/>
      <c r="R719" s="2174"/>
      <c r="S719" s="2174"/>
      <c r="T719" s="2174"/>
      <c r="U719" s="2174"/>
      <c r="V719" s="2174"/>
      <c r="W719" s="2174"/>
      <c r="X719" s="2174"/>
      <c r="Y719" s="2174"/>
      <c r="Z719" s="2174"/>
      <c r="AA719" s="2174"/>
      <c r="AB719" s="2174"/>
      <c r="AC719" s="2174"/>
    </row>
    <row r="720" spans="1:29">
      <c r="A720" s="2174"/>
      <c r="B720" s="2174"/>
      <c r="C720" s="2174"/>
      <c r="D720" s="2174"/>
      <c r="E720" s="2174"/>
      <c r="F720" s="2174"/>
      <c r="G720" s="2174"/>
      <c r="H720" s="2174"/>
      <c r="I720" s="2174"/>
      <c r="J720" s="2174"/>
      <c r="K720" s="2175"/>
      <c r="L720" s="2176"/>
      <c r="M720" s="2174"/>
      <c r="N720" s="2174"/>
      <c r="O720" s="2174"/>
      <c r="P720" s="2215"/>
      <c r="Q720" s="2174"/>
      <c r="R720" s="2174"/>
      <c r="S720" s="2174"/>
      <c r="T720" s="2174"/>
      <c r="U720" s="2174"/>
      <c r="V720" s="2174"/>
      <c r="W720" s="2174"/>
      <c r="X720" s="2174"/>
      <c r="Y720" s="2174"/>
      <c r="Z720" s="2174"/>
      <c r="AA720" s="2174"/>
      <c r="AB720" s="2174"/>
      <c r="AC720" s="2174"/>
    </row>
    <row r="721" spans="1:29">
      <c r="A721" s="2174"/>
      <c r="B721" s="2174"/>
      <c r="C721" s="2174"/>
      <c r="D721" s="2174"/>
      <c r="E721" s="2174"/>
      <c r="F721" s="2174"/>
      <c r="G721" s="2174"/>
      <c r="H721" s="2174"/>
      <c r="I721" s="2174"/>
      <c r="J721" s="2174"/>
      <c r="K721" s="2175"/>
      <c r="L721" s="2176"/>
      <c r="M721" s="2174"/>
      <c r="N721" s="2174"/>
      <c r="O721" s="2174"/>
      <c r="P721" s="2215"/>
      <c r="Q721" s="2174"/>
      <c r="R721" s="2174"/>
      <c r="S721" s="2174"/>
      <c r="T721" s="2174"/>
      <c r="U721" s="2174"/>
      <c r="V721" s="2174"/>
      <c r="W721" s="2174"/>
      <c r="X721" s="2174"/>
      <c r="Y721" s="2174"/>
      <c r="Z721" s="2174"/>
      <c r="AA721" s="2174"/>
      <c r="AB721" s="2174"/>
      <c r="AC721" s="2174"/>
    </row>
    <row r="722" spans="1:29">
      <c r="A722" s="2174"/>
      <c r="B722" s="2174"/>
      <c r="C722" s="2174"/>
      <c r="D722" s="2174"/>
      <c r="E722" s="2174"/>
      <c r="F722" s="2174"/>
      <c r="G722" s="2174"/>
      <c r="H722" s="2174"/>
      <c r="I722" s="2174"/>
      <c r="J722" s="2174"/>
      <c r="K722" s="2175"/>
      <c r="L722" s="2176"/>
      <c r="M722" s="2174"/>
      <c r="N722" s="2174"/>
      <c r="O722" s="2174"/>
      <c r="P722" s="2215"/>
      <c r="Q722" s="2174"/>
      <c r="R722" s="2174"/>
      <c r="S722" s="2174"/>
      <c r="T722" s="2174"/>
      <c r="U722" s="2174"/>
      <c r="V722" s="2174"/>
      <c r="W722" s="2174"/>
      <c r="X722" s="2174"/>
      <c r="Y722" s="2174"/>
      <c r="Z722" s="2174"/>
      <c r="AA722" s="2174"/>
      <c r="AB722" s="2174"/>
      <c r="AC722" s="2174"/>
    </row>
    <row r="723" spans="1:29">
      <c r="A723" s="2174"/>
      <c r="B723" s="2174"/>
      <c r="C723" s="2174"/>
      <c r="D723" s="2174"/>
      <c r="E723" s="2174"/>
      <c r="F723" s="2174"/>
      <c r="G723" s="2174"/>
      <c r="H723" s="2174"/>
      <c r="I723" s="2174"/>
      <c r="J723" s="2174"/>
      <c r="K723" s="2175"/>
      <c r="L723" s="2176"/>
      <c r="M723" s="2174"/>
      <c r="N723" s="2174"/>
      <c r="O723" s="2174"/>
      <c r="P723" s="2215"/>
      <c r="Q723" s="2174"/>
      <c r="R723" s="2174"/>
      <c r="S723" s="2174"/>
      <c r="T723" s="2174"/>
      <c r="U723" s="2174"/>
      <c r="V723" s="2174"/>
      <c r="W723" s="2174"/>
      <c r="X723" s="2174"/>
      <c r="Y723" s="2174"/>
      <c r="Z723" s="2174"/>
      <c r="AA723" s="2174"/>
      <c r="AB723" s="2174"/>
      <c r="AC723" s="2174"/>
    </row>
    <row r="724" spans="1:29">
      <c r="A724" s="2174"/>
      <c r="B724" s="2174"/>
      <c r="C724" s="2174"/>
      <c r="D724" s="2174"/>
      <c r="E724" s="2174"/>
      <c r="F724" s="2174"/>
      <c r="G724" s="2174"/>
      <c r="H724" s="2174"/>
      <c r="I724" s="2174"/>
      <c r="J724" s="2174"/>
      <c r="K724" s="2175"/>
      <c r="L724" s="2176"/>
      <c r="M724" s="2174"/>
      <c r="N724" s="2174"/>
      <c r="O724" s="2174"/>
      <c r="P724" s="2215"/>
      <c r="Q724" s="2174"/>
      <c r="R724" s="2174"/>
      <c r="S724" s="2174"/>
      <c r="T724" s="2174"/>
      <c r="U724" s="2174"/>
      <c r="V724" s="2174"/>
      <c r="W724" s="2174"/>
      <c r="X724" s="2174"/>
      <c r="Y724" s="2174"/>
      <c r="Z724" s="2174"/>
      <c r="AA724" s="2174"/>
      <c r="AB724" s="2174"/>
      <c r="AC724" s="2174"/>
    </row>
    <row r="725" spans="1:29">
      <c r="A725" s="2174"/>
      <c r="B725" s="2174"/>
      <c r="C725" s="2174"/>
      <c r="D725" s="2174"/>
      <c r="E725" s="2174"/>
      <c r="F725" s="2174"/>
      <c r="G725" s="2174"/>
      <c r="H725" s="2174"/>
      <c r="I725" s="2174"/>
      <c r="J725" s="2174"/>
      <c r="K725" s="2175"/>
      <c r="L725" s="2176"/>
      <c r="M725" s="2174"/>
      <c r="N725" s="2174"/>
      <c r="O725" s="2174"/>
      <c r="P725" s="2215"/>
      <c r="Q725" s="2174"/>
      <c r="R725" s="2174"/>
      <c r="S725" s="2174"/>
      <c r="T725" s="2174"/>
      <c r="U725" s="2174"/>
      <c r="V725" s="2174"/>
      <c r="W725" s="2174"/>
      <c r="X725" s="2174"/>
      <c r="Y725" s="2174"/>
      <c r="Z725" s="2174"/>
      <c r="AA725" s="2174"/>
      <c r="AB725" s="2174"/>
      <c r="AC725" s="2174"/>
    </row>
    <row r="726" spans="1:29">
      <c r="A726" s="2174"/>
      <c r="B726" s="2174"/>
      <c r="C726" s="2174"/>
      <c r="D726" s="2174"/>
      <c r="E726" s="2174"/>
      <c r="F726" s="2174"/>
      <c r="G726" s="2174"/>
      <c r="H726" s="2174"/>
      <c r="I726" s="2174"/>
      <c r="J726" s="2174"/>
      <c r="K726" s="2175"/>
      <c r="L726" s="2176"/>
      <c r="M726" s="2174"/>
      <c r="N726" s="2174"/>
      <c r="O726" s="2174"/>
      <c r="P726" s="2215"/>
      <c r="Q726" s="2174"/>
      <c r="R726" s="2174"/>
      <c r="S726" s="2174"/>
      <c r="T726" s="2174"/>
      <c r="U726" s="2174"/>
      <c r="V726" s="2174"/>
      <c r="W726" s="2174"/>
      <c r="X726" s="2174"/>
      <c r="Y726" s="2174"/>
      <c r="Z726" s="2174"/>
      <c r="AA726" s="2174"/>
      <c r="AB726" s="2174"/>
      <c r="AC726" s="2174"/>
    </row>
    <row r="727" spans="1:29">
      <c r="A727" s="2174"/>
      <c r="B727" s="2174"/>
      <c r="C727" s="2174"/>
      <c r="D727" s="2174"/>
      <c r="E727" s="2174"/>
      <c r="F727" s="2174"/>
      <c r="G727" s="2174"/>
      <c r="H727" s="2174"/>
      <c r="I727" s="2174"/>
      <c r="J727" s="2174"/>
      <c r="K727" s="2175"/>
      <c r="L727" s="2176"/>
      <c r="M727" s="2174"/>
      <c r="N727" s="2174"/>
      <c r="O727" s="2174"/>
      <c r="P727" s="2215"/>
      <c r="Q727" s="2174"/>
      <c r="R727" s="2174"/>
      <c r="S727" s="2174"/>
      <c r="T727" s="2174"/>
      <c r="U727" s="2174"/>
      <c r="V727" s="2174"/>
      <c r="W727" s="2174"/>
      <c r="X727" s="2174"/>
      <c r="Y727" s="2174"/>
      <c r="Z727" s="2174"/>
      <c r="AA727" s="2174"/>
      <c r="AB727" s="2174"/>
      <c r="AC727" s="2174"/>
    </row>
    <row r="728" spans="1:29">
      <c r="A728" s="2174"/>
      <c r="B728" s="2174"/>
      <c r="C728" s="2174"/>
      <c r="D728" s="2174"/>
      <c r="E728" s="2174"/>
      <c r="F728" s="2174"/>
      <c r="G728" s="2174"/>
      <c r="H728" s="2174"/>
      <c r="I728" s="2174"/>
      <c r="J728" s="2174"/>
      <c r="K728" s="2175"/>
      <c r="L728" s="2176"/>
      <c r="M728" s="2174"/>
      <c r="N728" s="2174"/>
      <c r="O728" s="2174"/>
      <c r="P728" s="2215"/>
      <c r="Q728" s="2174"/>
      <c r="R728" s="2174"/>
      <c r="S728" s="2174"/>
      <c r="T728" s="2174"/>
      <c r="U728" s="2174"/>
      <c r="V728" s="2174"/>
      <c r="W728" s="2174"/>
      <c r="X728" s="2174"/>
      <c r="Y728" s="2174"/>
      <c r="Z728" s="2174"/>
      <c r="AA728" s="2174"/>
      <c r="AB728" s="2174"/>
      <c r="AC728" s="2174"/>
    </row>
    <row r="729" spans="1:29">
      <c r="A729" s="2174"/>
      <c r="B729" s="2174"/>
      <c r="C729" s="2174"/>
      <c r="D729" s="2174"/>
      <c r="E729" s="2174"/>
      <c r="F729" s="2174"/>
      <c r="G729" s="2174"/>
      <c r="H729" s="2174"/>
      <c r="I729" s="2174"/>
      <c r="J729" s="2174"/>
      <c r="K729" s="2175"/>
      <c r="L729" s="2176"/>
      <c r="M729" s="2174"/>
      <c r="N729" s="2174"/>
      <c r="O729" s="2174"/>
      <c r="P729" s="2215"/>
      <c r="Q729" s="2174"/>
      <c r="R729" s="2174"/>
      <c r="S729" s="2174"/>
      <c r="T729" s="2174"/>
      <c r="U729" s="2174"/>
      <c r="V729" s="2174"/>
      <c r="W729" s="2174"/>
      <c r="X729" s="2174"/>
      <c r="Y729" s="2174"/>
      <c r="Z729" s="2174"/>
      <c r="AA729" s="2174"/>
      <c r="AB729" s="2174"/>
      <c r="AC729" s="2174"/>
    </row>
    <row r="730" spans="1:29">
      <c r="A730" s="2174"/>
      <c r="B730" s="2174"/>
      <c r="C730" s="2174"/>
      <c r="D730" s="2174"/>
      <c r="E730" s="2174"/>
      <c r="F730" s="2174"/>
      <c r="G730" s="2174"/>
      <c r="H730" s="2174"/>
      <c r="I730" s="2174"/>
      <c r="J730" s="2174"/>
      <c r="K730" s="2175"/>
      <c r="L730" s="2176"/>
      <c r="M730" s="2174"/>
      <c r="N730" s="2174"/>
      <c r="O730" s="2174"/>
      <c r="P730" s="2215"/>
      <c r="Q730" s="2174"/>
      <c r="R730" s="2174"/>
      <c r="S730" s="2174"/>
      <c r="T730" s="2174"/>
      <c r="U730" s="2174"/>
      <c r="V730" s="2174"/>
      <c r="W730" s="2174"/>
      <c r="X730" s="2174"/>
      <c r="Y730" s="2174"/>
      <c r="Z730" s="2174"/>
      <c r="AA730" s="2174"/>
      <c r="AB730" s="2174"/>
      <c r="AC730" s="2174"/>
    </row>
    <row r="731" spans="1:29">
      <c r="A731" s="2174"/>
      <c r="B731" s="2174"/>
      <c r="C731" s="2174"/>
      <c r="D731" s="2174"/>
      <c r="E731" s="2174"/>
      <c r="F731" s="2174"/>
      <c r="G731" s="2174"/>
      <c r="H731" s="2174"/>
      <c r="I731" s="2174"/>
      <c r="J731" s="2174"/>
      <c r="K731" s="2175"/>
      <c r="L731" s="2176"/>
      <c r="M731" s="2174"/>
      <c r="N731" s="2174"/>
      <c r="O731" s="2174"/>
      <c r="P731" s="2215"/>
      <c r="Q731" s="2174"/>
      <c r="R731" s="2174"/>
      <c r="S731" s="2174"/>
      <c r="T731" s="2174"/>
      <c r="U731" s="2174"/>
      <c r="V731" s="2174"/>
      <c r="W731" s="2174"/>
      <c r="X731" s="2174"/>
      <c r="Y731" s="2174"/>
      <c r="Z731" s="2174"/>
      <c r="AA731" s="2174"/>
      <c r="AB731" s="2174"/>
      <c r="AC731" s="2174"/>
    </row>
    <row r="732" spans="1:29">
      <c r="A732" s="2174"/>
      <c r="B732" s="2174"/>
      <c r="C732" s="2174"/>
      <c r="D732" s="2174"/>
      <c r="E732" s="2174"/>
      <c r="F732" s="2174"/>
      <c r="G732" s="2174"/>
      <c r="H732" s="2174"/>
      <c r="I732" s="2174"/>
      <c r="J732" s="2174"/>
      <c r="K732" s="2175"/>
      <c r="L732" s="2176"/>
      <c r="M732" s="2174"/>
      <c r="N732" s="2174"/>
      <c r="O732" s="2174"/>
      <c r="P732" s="2215"/>
      <c r="Q732" s="2174"/>
      <c r="R732" s="2174"/>
      <c r="S732" s="2174"/>
      <c r="T732" s="2174"/>
      <c r="U732" s="2174"/>
      <c r="V732" s="2174"/>
      <c r="W732" s="2174"/>
      <c r="X732" s="2174"/>
      <c r="Y732" s="2174"/>
      <c r="Z732" s="2174"/>
      <c r="AA732" s="2174"/>
      <c r="AB732" s="2174"/>
      <c r="AC732" s="2174"/>
    </row>
    <row r="733" spans="1:29">
      <c r="A733" s="2174"/>
      <c r="B733" s="2174"/>
      <c r="C733" s="2174"/>
      <c r="D733" s="2174"/>
      <c r="E733" s="2174"/>
      <c r="F733" s="2174"/>
      <c r="G733" s="2174"/>
      <c r="H733" s="2174"/>
      <c r="I733" s="2174"/>
      <c r="J733" s="2174"/>
      <c r="K733" s="2175"/>
      <c r="L733" s="2176"/>
      <c r="M733" s="2174"/>
      <c r="N733" s="2174"/>
      <c r="O733" s="2174"/>
      <c r="P733" s="2215"/>
      <c r="Q733" s="2174"/>
      <c r="R733" s="2174"/>
      <c r="S733" s="2174"/>
      <c r="T733" s="2174"/>
      <c r="U733" s="2174"/>
      <c r="V733" s="2174"/>
      <c r="W733" s="2174"/>
      <c r="X733" s="2174"/>
      <c r="Y733" s="2174"/>
      <c r="Z733" s="2174"/>
      <c r="AA733" s="2174"/>
      <c r="AB733" s="2174"/>
      <c r="AC733" s="2174"/>
    </row>
    <row r="734" spans="1:29">
      <c r="A734" s="2174"/>
      <c r="B734" s="2174"/>
      <c r="C734" s="2174"/>
      <c r="D734" s="2174"/>
      <c r="E734" s="2174"/>
      <c r="F734" s="2174"/>
      <c r="G734" s="2174"/>
      <c r="H734" s="2174"/>
      <c r="I734" s="2174"/>
      <c r="J734" s="2174"/>
      <c r="K734" s="2175"/>
      <c r="L734" s="2176"/>
      <c r="M734" s="2174"/>
      <c r="N734" s="2174"/>
      <c r="O734" s="2174"/>
      <c r="P734" s="2215"/>
      <c r="Q734" s="2174"/>
      <c r="R734" s="2174"/>
      <c r="S734" s="2174"/>
      <c r="T734" s="2174"/>
      <c r="U734" s="2174"/>
      <c r="V734" s="2174"/>
      <c r="W734" s="2174"/>
      <c r="X734" s="2174"/>
      <c r="Y734" s="2174"/>
      <c r="Z734" s="2174"/>
      <c r="AA734" s="2174"/>
      <c r="AB734" s="2174"/>
      <c r="AC734" s="2174"/>
    </row>
    <row r="735" spans="1:29">
      <c r="A735" s="2174"/>
      <c r="B735" s="2174"/>
      <c r="C735" s="2174"/>
      <c r="D735" s="2174"/>
      <c r="E735" s="2174"/>
      <c r="F735" s="2174"/>
      <c r="G735" s="2174"/>
      <c r="H735" s="2174"/>
      <c r="I735" s="2174"/>
      <c r="J735" s="2174"/>
      <c r="K735" s="2175"/>
      <c r="L735" s="2176"/>
      <c r="M735" s="2174"/>
      <c r="N735" s="2174"/>
      <c r="O735" s="2174"/>
      <c r="P735" s="2215"/>
      <c r="Q735" s="2174"/>
      <c r="R735" s="2174"/>
      <c r="S735" s="2174"/>
      <c r="T735" s="2174"/>
      <c r="U735" s="2174"/>
      <c r="V735" s="2174"/>
      <c r="W735" s="2174"/>
      <c r="X735" s="2174"/>
      <c r="Y735" s="2174"/>
      <c r="Z735" s="2174"/>
      <c r="AA735" s="2174"/>
      <c r="AB735" s="2174"/>
      <c r="AC735" s="2174"/>
    </row>
    <row r="736" spans="1:29">
      <c r="A736" s="2174"/>
      <c r="B736" s="2174"/>
      <c r="C736" s="2174"/>
      <c r="D736" s="2174"/>
      <c r="E736" s="2174"/>
      <c r="F736" s="2174"/>
      <c r="G736" s="2174"/>
      <c r="H736" s="2174"/>
      <c r="I736" s="2174"/>
      <c r="J736" s="2174"/>
      <c r="K736" s="2175"/>
      <c r="L736" s="2176"/>
      <c r="M736" s="2174"/>
      <c r="N736" s="2174"/>
      <c r="O736" s="2174"/>
      <c r="P736" s="2215"/>
      <c r="Q736" s="2174"/>
      <c r="R736" s="2174"/>
      <c r="S736" s="2174"/>
      <c r="T736" s="2174"/>
      <c r="U736" s="2174"/>
      <c r="V736" s="2174"/>
      <c r="W736" s="2174"/>
      <c r="X736" s="2174"/>
      <c r="Y736" s="2174"/>
      <c r="Z736" s="2174"/>
      <c r="AA736" s="2174"/>
      <c r="AB736" s="2174"/>
      <c r="AC736" s="2174"/>
    </row>
    <row r="737" spans="1:29">
      <c r="A737" s="2174"/>
      <c r="B737" s="2174"/>
      <c r="C737" s="2174"/>
      <c r="D737" s="2174"/>
      <c r="E737" s="2174"/>
      <c r="F737" s="2174"/>
      <c r="G737" s="2174"/>
      <c r="H737" s="2174"/>
      <c r="I737" s="2174"/>
      <c r="J737" s="2174"/>
      <c r="K737" s="2175"/>
      <c r="L737" s="2176"/>
      <c r="M737" s="2174"/>
      <c r="N737" s="2174"/>
      <c r="O737" s="2174"/>
      <c r="P737" s="2215"/>
      <c r="Q737" s="2174"/>
      <c r="R737" s="2174"/>
      <c r="S737" s="2174"/>
      <c r="T737" s="2174"/>
      <c r="U737" s="2174"/>
      <c r="V737" s="2174"/>
      <c r="W737" s="2174"/>
      <c r="X737" s="2174"/>
      <c r="Y737" s="2174"/>
      <c r="Z737" s="2174"/>
      <c r="AA737" s="2174"/>
      <c r="AB737" s="2174"/>
      <c r="AC737" s="2174"/>
    </row>
    <row r="738" spans="1:29">
      <c r="A738" s="2174"/>
      <c r="B738" s="2174"/>
      <c r="C738" s="2174"/>
      <c r="D738" s="2174"/>
      <c r="E738" s="2174"/>
      <c r="F738" s="2174"/>
      <c r="G738" s="2174"/>
      <c r="H738" s="2174"/>
      <c r="I738" s="2174"/>
      <c r="J738" s="2174"/>
      <c r="K738" s="2175"/>
      <c r="L738" s="2176"/>
      <c r="M738" s="2174"/>
      <c r="N738" s="2174"/>
      <c r="O738" s="2174"/>
      <c r="P738" s="2215"/>
      <c r="Q738" s="2174"/>
      <c r="R738" s="2174"/>
      <c r="S738" s="2174"/>
      <c r="T738" s="2174"/>
      <c r="U738" s="2174"/>
      <c r="V738" s="2174"/>
      <c r="W738" s="2174"/>
      <c r="X738" s="2174"/>
      <c r="Y738" s="2174"/>
      <c r="Z738" s="2174"/>
      <c r="AA738" s="2174"/>
      <c r="AB738" s="2174"/>
      <c r="AC738" s="2174"/>
    </row>
    <row r="739" spans="1:29">
      <c r="A739" s="2174"/>
      <c r="B739" s="2174"/>
      <c r="C739" s="2174"/>
      <c r="D739" s="2174"/>
      <c r="E739" s="2174"/>
      <c r="F739" s="2174"/>
      <c r="G739" s="2174"/>
      <c r="H739" s="2174"/>
      <c r="I739" s="2174"/>
      <c r="J739" s="2174"/>
      <c r="K739" s="2175"/>
      <c r="L739" s="2176"/>
      <c r="M739" s="2174"/>
      <c r="N739" s="2174"/>
      <c r="O739" s="2174"/>
      <c r="P739" s="2215"/>
      <c r="Q739" s="2174"/>
      <c r="R739" s="2174"/>
      <c r="S739" s="2174"/>
      <c r="T739" s="2174"/>
      <c r="U739" s="2174"/>
      <c r="V739" s="2174"/>
      <c r="W739" s="2174"/>
      <c r="X739" s="2174"/>
      <c r="Y739" s="2174"/>
      <c r="Z739" s="2174"/>
      <c r="AA739" s="2174"/>
      <c r="AB739" s="2174"/>
      <c r="AC739" s="2174"/>
    </row>
    <row r="740" spans="1:29">
      <c r="A740" s="2174"/>
      <c r="B740" s="2174"/>
      <c r="C740" s="2174"/>
      <c r="D740" s="2174"/>
      <c r="E740" s="2174"/>
      <c r="F740" s="2174"/>
      <c r="G740" s="2174"/>
      <c r="H740" s="2174"/>
      <c r="I740" s="2174"/>
      <c r="J740" s="2174"/>
      <c r="K740" s="2175"/>
      <c r="L740" s="2176"/>
      <c r="M740" s="2174"/>
      <c r="N740" s="2174"/>
      <c r="O740" s="2174"/>
      <c r="P740" s="2215"/>
      <c r="Q740" s="2174"/>
      <c r="R740" s="2174"/>
      <c r="S740" s="2174"/>
      <c r="T740" s="2174"/>
      <c r="U740" s="2174"/>
      <c r="V740" s="2174"/>
      <c r="W740" s="2174"/>
      <c r="X740" s="2174"/>
      <c r="Y740" s="2174"/>
      <c r="Z740" s="2174"/>
      <c r="AA740" s="2174"/>
      <c r="AB740" s="2174"/>
      <c r="AC740" s="2174"/>
    </row>
    <row r="741" spans="1:29">
      <c r="A741" s="2174"/>
      <c r="B741" s="2174"/>
      <c r="C741" s="2174"/>
      <c r="D741" s="2174"/>
      <c r="E741" s="2174"/>
      <c r="F741" s="2174"/>
      <c r="G741" s="2174"/>
      <c r="H741" s="2174"/>
      <c r="I741" s="2174"/>
      <c r="J741" s="2174"/>
      <c r="K741" s="2175"/>
      <c r="L741" s="2176"/>
      <c r="M741" s="2174"/>
      <c r="N741" s="2174"/>
      <c r="O741" s="2174"/>
      <c r="P741" s="2215"/>
      <c r="Q741" s="2174"/>
      <c r="R741" s="2174"/>
      <c r="S741" s="2174"/>
      <c r="T741" s="2174"/>
      <c r="U741" s="2174"/>
      <c r="V741" s="2174"/>
      <c r="W741" s="2174"/>
      <c r="X741" s="2174"/>
      <c r="Y741" s="2174"/>
      <c r="Z741" s="2174"/>
      <c r="AA741" s="2174"/>
      <c r="AB741" s="2174"/>
      <c r="AC741" s="2174"/>
    </row>
    <row r="742" spans="1:29">
      <c r="A742" s="2174"/>
      <c r="B742" s="2174"/>
      <c r="C742" s="2174"/>
      <c r="D742" s="2174"/>
      <c r="E742" s="2174"/>
      <c r="F742" s="2174"/>
      <c r="G742" s="2174"/>
      <c r="H742" s="2174"/>
      <c r="I742" s="2174"/>
      <c r="J742" s="2174"/>
      <c r="K742" s="2175"/>
      <c r="L742" s="2176"/>
      <c r="M742" s="2174"/>
      <c r="N742" s="2174"/>
      <c r="O742" s="2174"/>
      <c r="P742" s="2215"/>
      <c r="Q742" s="2174"/>
      <c r="R742" s="2174"/>
      <c r="S742" s="2174"/>
      <c r="T742" s="2174"/>
      <c r="U742" s="2174"/>
      <c r="V742" s="2174"/>
      <c r="W742" s="2174"/>
      <c r="X742" s="2174"/>
      <c r="Y742" s="2174"/>
      <c r="Z742" s="2174"/>
      <c r="AA742" s="2174"/>
      <c r="AB742" s="2174"/>
      <c r="AC742" s="2174"/>
    </row>
    <row r="743" spans="1:29">
      <c r="A743" s="2174"/>
      <c r="B743" s="2174"/>
      <c r="C743" s="2174"/>
      <c r="D743" s="2174"/>
      <c r="E743" s="2174"/>
      <c r="F743" s="2174"/>
      <c r="G743" s="2174"/>
      <c r="H743" s="2174"/>
      <c r="I743" s="2174"/>
      <c r="J743" s="2174"/>
      <c r="K743" s="2175"/>
      <c r="L743" s="2176"/>
      <c r="M743" s="2174"/>
      <c r="N743" s="2174"/>
      <c r="O743" s="2174"/>
      <c r="P743" s="2215"/>
      <c r="Q743" s="2174"/>
      <c r="R743" s="2174"/>
      <c r="S743" s="2174"/>
      <c r="T743" s="2174"/>
      <c r="U743" s="2174"/>
      <c r="V743" s="2174"/>
      <c r="W743" s="2174"/>
      <c r="X743" s="2174"/>
      <c r="Y743" s="2174"/>
      <c r="Z743" s="2174"/>
      <c r="AA743" s="2174"/>
      <c r="AB743" s="2174"/>
      <c r="AC743" s="2174"/>
    </row>
    <row r="744" spans="1:29">
      <c r="A744" s="2174"/>
      <c r="B744" s="2174"/>
      <c r="C744" s="2174"/>
      <c r="D744" s="2174"/>
      <c r="E744" s="2174"/>
      <c r="F744" s="2174"/>
      <c r="G744" s="2174"/>
      <c r="H744" s="2174"/>
      <c r="I744" s="2174"/>
      <c r="J744" s="2174"/>
      <c r="K744" s="2175"/>
      <c r="L744" s="2176"/>
      <c r="M744" s="2174"/>
      <c r="N744" s="2174"/>
      <c r="O744" s="2174"/>
      <c r="P744" s="2215"/>
      <c r="Q744" s="2174"/>
      <c r="R744" s="2174"/>
      <c r="S744" s="2174"/>
      <c r="T744" s="2174"/>
      <c r="U744" s="2174"/>
      <c r="V744" s="2174"/>
      <c r="W744" s="2174"/>
      <c r="X744" s="2174"/>
      <c r="Y744" s="2174"/>
      <c r="Z744" s="2174"/>
      <c r="AA744" s="2174"/>
      <c r="AB744" s="2174"/>
      <c r="AC744" s="2174"/>
    </row>
    <row r="745" spans="1:29">
      <c r="A745" s="2174"/>
      <c r="B745" s="2174"/>
      <c r="C745" s="2174"/>
      <c r="D745" s="2174"/>
      <c r="E745" s="2174"/>
      <c r="F745" s="2174"/>
      <c r="G745" s="2174"/>
      <c r="H745" s="2174"/>
      <c r="I745" s="2174"/>
      <c r="J745" s="2174"/>
      <c r="K745" s="2175"/>
      <c r="L745" s="2176"/>
      <c r="M745" s="2174"/>
      <c r="N745" s="2174"/>
      <c r="O745" s="2174"/>
      <c r="P745" s="2215"/>
      <c r="Q745" s="2174"/>
      <c r="R745" s="2174"/>
      <c r="S745" s="2174"/>
      <c r="T745" s="2174"/>
      <c r="U745" s="2174"/>
      <c r="V745" s="2174"/>
      <c r="W745" s="2174"/>
      <c r="X745" s="2174"/>
      <c r="Y745" s="2174"/>
      <c r="Z745" s="2174"/>
      <c r="AA745" s="2174"/>
      <c r="AB745" s="2174"/>
      <c r="AC745" s="2174"/>
    </row>
    <row r="746" spans="1:29">
      <c r="A746" s="2174"/>
      <c r="B746" s="2174"/>
      <c r="C746" s="2174"/>
      <c r="D746" s="2174"/>
      <c r="E746" s="2174"/>
      <c r="F746" s="2174"/>
      <c r="G746" s="2174"/>
      <c r="H746" s="2174"/>
      <c r="I746" s="2174"/>
      <c r="J746" s="2174"/>
      <c r="K746" s="2175"/>
      <c r="L746" s="2176"/>
      <c r="M746" s="2174"/>
      <c r="N746" s="2174"/>
      <c r="O746" s="2174"/>
      <c r="P746" s="2215"/>
      <c r="Q746" s="2174"/>
      <c r="R746" s="2174"/>
      <c r="S746" s="2174"/>
      <c r="T746" s="2174"/>
      <c r="U746" s="2174"/>
      <c r="V746" s="2174"/>
      <c r="W746" s="2174"/>
      <c r="X746" s="2174"/>
      <c r="Y746" s="2174"/>
      <c r="Z746" s="2174"/>
      <c r="AA746" s="2174"/>
      <c r="AB746" s="2174"/>
      <c r="AC746" s="2174"/>
    </row>
    <row r="747" spans="1:29">
      <c r="A747" s="2174"/>
      <c r="B747" s="2174"/>
      <c r="C747" s="2174"/>
      <c r="D747" s="2174"/>
      <c r="E747" s="2174"/>
      <c r="F747" s="2174"/>
      <c r="G747" s="2174"/>
      <c r="H747" s="2174"/>
      <c r="I747" s="2174"/>
      <c r="J747" s="2174"/>
      <c r="K747" s="2175"/>
      <c r="L747" s="2176"/>
      <c r="M747" s="2174"/>
      <c r="N747" s="2174"/>
      <c r="O747" s="2174"/>
      <c r="P747" s="2215"/>
      <c r="Q747" s="2174"/>
      <c r="R747" s="2174"/>
      <c r="S747" s="2174"/>
      <c r="T747" s="2174"/>
      <c r="U747" s="2174"/>
      <c r="V747" s="2174"/>
      <c r="W747" s="2174"/>
      <c r="X747" s="2174"/>
      <c r="Y747" s="2174"/>
      <c r="Z747" s="2174"/>
      <c r="AA747" s="2174"/>
      <c r="AB747" s="2174"/>
      <c r="AC747" s="2174"/>
    </row>
    <row r="748" spans="1:29">
      <c r="A748" s="2174"/>
      <c r="B748" s="2174"/>
      <c r="C748" s="2174"/>
      <c r="D748" s="2174"/>
      <c r="E748" s="2174"/>
      <c r="F748" s="2174"/>
      <c r="G748" s="2174"/>
      <c r="H748" s="2174"/>
      <c r="I748" s="2174"/>
      <c r="J748" s="2174"/>
      <c r="K748" s="2175"/>
      <c r="L748" s="2176"/>
      <c r="M748" s="2174"/>
      <c r="N748" s="2174"/>
      <c r="O748" s="2174"/>
      <c r="P748" s="2215"/>
      <c r="Q748" s="2174"/>
      <c r="R748" s="2174"/>
      <c r="S748" s="2174"/>
      <c r="T748" s="2174"/>
      <c r="U748" s="2174"/>
      <c r="V748" s="2174"/>
      <c r="W748" s="2174"/>
      <c r="X748" s="2174"/>
      <c r="Y748" s="2174"/>
      <c r="Z748" s="2174"/>
      <c r="AA748" s="2174"/>
      <c r="AB748" s="2174"/>
      <c r="AC748" s="2174"/>
    </row>
    <row r="749" spans="1:29">
      <c r="A749" s="2174"/>
      <c r="B749" s="2174"/>
      <c r="C749" s="2174"/>
      <c r="D749" s="2174"/>
      <c r="E749" s="2174"/>
      <c r="F749" s="2174"/>
      <c r="G749" s="2174"/>
      <c r="H749" s="2174"/>
      <c r="I749" s="2174"/>
      <c r="J749" s="2174"/>
      <c r="K749" s="2175"/>
      <c r="L749" s="2176"/>
      <c r="M749" s="2174"/>
      <c r="N749" s="2174"/>
      <c r="O749" s="2174"/>
      <c r="P749" s="2215"/>
      <c r="Q749" s="2174"/>
      <c r="R749" s="2174"/>
      <c r="S749" s="2174"/>
      <c r="T749" s="2174"/>
      <c r="U749" s="2174"/>
      <c r="V749" s="2174"/>
      <c r="W749" s="2174"/>
      <c r="X749" s="2174"/>
      <c r="Y749" s="2174"/>
      <c r="Z749" s="2174"/>
      <c r="AA749" s="2174"/>
      <c r="AB749" s="2174"/>
      <c r="AC749" s="2174"/>
    </row>
    <row r="750" spans="1:29">
      <c r="A750" s="2174"/>
      <c r="B750" s="2174"/>
      <c r="C750" s="2174"/>
      <c r="D750" s="2174"/>
      <c r="E750" s="2174"/>
      <c r="F750" s="2174"/>
      <c r="G750" s="2174"/>
      <c r="H750" s="2174"/>
      <c r="I750" s="2174"/>
      <c r="J750" s="2174"/>
      <c r="K750" s="2175"/>
      <c r="L750" s="2176"/>
      <c r="M750" s="2174"/>
      <c r="N750" s="2174"/>
      <c r="O750" s="2174"/>
      <c r="P750" s="2215"/>
      <c r="Q750" s="2174"/>
      <c r="R750" s="2174"/>
      <c r="S750" s="2174"/>
      <c r="T750" s="2174"/>
      <c r="U750" s="2174"/>
      <c r="V750" s="2174"/>
      <c r="W750" s="2174"/>
      <c r="X750" s="2174"/>
      <c r="Y750" s="2174"/>
      <c r="Z750" s="2174"/>
      <c r="AA750" s="2174"/>
      <c r="AB750" s="2174"/>
      <c r="AC750" s="2174"/>
    </row>
    <row r="751" spans="1:29">
      <c r="A751" s="2174"/>
      <c r="B751" s="2174"/>
      <c r="C751" s="2174"/>
      <c r="D751" s="2174"/>
      <c r="E751" s="2174"/>
      <c r="F751" s="2174"/>
      <c r="G751" s="2174"/>
      <c r="H751" s="2174"/>
      <c r="I751" s="2174"/>
      <c r="J751" s="2174"/>
      <c r="K751" s="2175"/>
      <c r="L751" s="2176"/>
      <c r="M751" s="2174"/>
      <c r="N751" s="2174"/>
      <c r="O751" s="2174"/>
      <c r="P751" s="2215"/>
      <c r="Q751" s="2174"/>
      <c r="R751" s="2174"/>
      <c r="S751" s="2174"/>
      <c r="T751" s="2174"/>
      <c r="U751" s="2174"/>
      <c r="V751" s="2174"/>
      <c r="W751" s="2174"/>
      <c r="X751" s="2174"/>
      <c r="Y751" s="2174"/>
      <c r="Z751" s="2174"/>
      <c r="AA751" s="2174"/>
      <c r="AB751" s="2174"/>
      <c r="AC751" s="2174"/>
    </row>
    <row r="752" spans="1:29">
      <c r="A752" s="2174"/>
      <c r="B752" s="2174"/>
      <c r="C752" s="2174"/>
      <c r="D752" s="2174"/>
      <c r="E752" s="2174"/>
      <c r="F752" s="2174"/>
      <c r="G752" s="2174"/>
      <c r="H752" s="2174"/>
      <c r="I752" s="2174"/>
      <c r="J752" s="2174"/>
      <c r="K752" s="2175"/>
      <c r="L752" s="2176"/>
      <c r="M752" s="2174"/>
      <c r="N752" s="2174"/>
      <c r="O752" s="2174"/>
      <c r="P752" s="2215"/>
      <c r="Q752" s="2174"/>
      <c r="R752" s="2174"/>
      <c r="S752" s="2174"/>
      <c r="T752" s="2174"/>
      <c r="U752" s="2174"/>
      <c r="V752" s="2174"/>
      <c r="W752" s="2174"/>
      <c r="X752" s="2174"/>
      <c r="Y752" s="2174"/>
      <c r="Z752" s="2174"/>
      <c r="AA752" s="2174"/>
      <c r="AB752" s="2174"/>
      <c r="AC752" s="2174"/>
    </row>
    <row r="753" spans="1:29">
      <c r="A753" s="2174"/>
      <c r="B753" s="2174"/>
      <c r="C753" s="2174"/>
      <c r="D753" s="2174"/>
      <c r="E753" s="2174"/>
      <c r="F753" s="2174"/>
      <c r="G753" s="2174"/>
      <c r="H753" s="2174"/>
      <c r="I753" s="2174"/>
      <c r="J753" s="2174"/>
      <c r="K753" s="2175"/>
      <c r="L753" s="2176"/>
      <c r="M753" s="2174"/>
      <c r="N753" s="2174"/>
      <c r="O753" s="2174"/>
      <c r="P753" s="2215"/>
      <c r="Q753" s="2174"/>
      <c r="R753" s="2174"/>
      <c r="S753" s="2174"/>
      <c r="T753" s="2174"/>
      <c r="U753" s="2174"/>
      <c r="V753" s="2174"/>
      <c r="W753" s="2174"/>
      <c r="X753" s="2174"/>
      <c r="Y753" s="2174"/>
      <c r="Z753" s="2174"/>
      <c r="AA753" s="2174"/>
      <c r="AB753" s="2174"/>
      <c r="AC753" s="2174"/>
    </row>
    <row r="754" spans="1:29">
      <c r="A754" s="2174"/>
      <c r="B754" s="2174"/>
      <c r="C754" s="2174"/>
      <c r="D754" s="2174"/>
      <c r="E754" s="2174"/>
      <c r="F754" s="2174"/>
      <c r="G754" s="2174"/>
      <c r="H754" s="2174"/>
      <c r="I754" s="2174"/>
      <c r="J754" s="2174"/>
      <c r="K754" s="2175"/>
      <c r="L754" s="2176"/>
      <c r="M754" s="2174"/>
      <c r="N754" s="2174"/>
      <c r="O754" s="2174"/>
      <c r="P754" s="2215"/>
      <c r="Q754" s="2174"/>
      <c r="R754" s="2174"/>
      <c r="S754" s="2174"/>
      <c r="T754" s="2174"/>
      <c r="U754" s="2174"/>
      <c r="V754" s="2174"/>
      <c r="W754" s="2174"/>
      <c r="X754" s="2174"/>
      <c r="Y754" s="2174"/>
      <c r="Z754" s="2174"/>
      <c r="AA754" s="2174"/>
      <c r="AB754" s="2174"/>
      <c r="AC754" s="2174"/>
    </row>
    <row r="755" spans="1:29">
      <c r="A755" s="2174"/>
      <c r="B755" s="2174"/>
      <c r="C755" s="2174"/>
      <c r="D755" s="2174"/>
      <c r="E755" s="2174"/>
      <c r="F755" s="2174"/>
      <c r="G755" s="2174"/>
      <c r="H755" s="2174"/>
      <c r="I755" s="2174"/>
      <c r="J755" s="2174"/>
      <c r="K755" s="2175"/>
      <c r="L755" s="2176"/>
      <c r="M755" s="2174"/>
      <c r="N755" s="2174"/>
      <c r="O755" s="2174"/>
      <c r="P755" s="2215"/>
      <c r="Q755" s="2174"/>
      <c r="R755" s="2174"/>
      <c r="S755" s="2174"/>
      <c r="T755" s="2174"/>
      <c r="U755" s="2174"/>
      <c r="V755" s="2174"/>
      <c r="W755" s="2174"/>
      <c r="X755" s="2174"/>
      <c r="Y755" s="2174"/>
      <c r="Z755" s="2174"/>
      <c r="AA755" s="2174"/>
      <c r="AB755" s="2174"/>
      <c r="AC755" s="2174"/>
    </row>
    <row r="756" spans="1:29">
      <c r="A756" s="2174"/>
      <c r="B756" s="2174"/>
      <c r="C756" s="2174"/>
      <c r="D756" s="2174"/>
      <c r="E756" s="2174"/>
      <c r="F756" s="2174"/>
      <c r="G756" s="2174"/>
      <c r="H756" s="2174"/>
      <c r="I756" s="2174"/>
      <c r="J756" s="2174"/>
      <c r="K756" s="2175"/>
      <c r="L756" s="2176"/>
      <c r="M756" s="2174"/>
      <c r="N756" s="2174"/>
      <c r="O756" s="2174"/>
      <c r="P756" s="2215"/>
      <c r="Q756" s="2174"/>
      <c r="R756" s="2174"/>
      <c r="S756" s="2174"/>
      <c r="T756" s="2174"/>
      <c r="U756" s="2174"/>
      <c r="V756" s="2174"/>
      <c r="W756" s="2174"/>
      <c r="X756" s="2174"/>
      <c r="Y756" s="2174"/>
      <c r="Z756" s="2174"/>
      <c r="AA756" s="2174"/>
      <c r="AB756" s="2174"/>
      <c r="AC756" s="2174"/>
    </row>
    <row r="757" spans="1:29">
      <c r="A757" s="2174"/>
      <c r="B757" s="2174"/>
      <c r="C757" s="2174"/>
      <c r="D757" s="2174"/>
      <c r="E757" s="2174"/>
      <c r="F757" s="2174"/>
      <c r="G757" s="2174"/>
      <c r="H757" s="2174"/>
      <c r="I757" s="2174"/>
      <c r="J757" s="2174"/>
      <c r="K757" s="2175"/>
      <c r="L757" s="2176"/>
      <c r="M757" s="2174"/>
      <c r="N757" s="2174"/>
      <c r="O757" s="2174"/>
      <c r="P757" s="2215"/>
      <c r="Q757" s="2174"/>
      <c r="R757" s="2174"/>
      <c r="S757" s="2174"/>
      <c r="T757" s="2174"/>
      <c r="U757" s="2174"/>
      <c r="V757" s="2174"/>
      <c r="W757" s="2174"/>
      <c r="X757" s="2174"/>
      <c r="Y757" s="2174"/>
      <c r="Z757" s="2174"/>
      <c r="AA757" s="2174"/>
      <c r="AB757" s="2174"/>
      <c r="AC757" s="2174"/>
    </row>
    <row r="758" spans="1:29">
      <c r="A758" s="2174"/>
      <c r="B758" s="2174"/>
      <c r="C758" s="2174"/>
      <c r="D758" s="2174"/>
      <c r="E758" s="2174"/>
      <c r="F758" s="2174"/>
      <c r="G758" s="2174"/>
      <c r="H758" s="2174"/>
      <c r="I758" s="2174"/>
      <c r="J758" s="2174"/>
      <c r="K758" s="2175"/>
      <c r="L758" s="2176"/>
      <c r="M758" s="2174"/>
      <c r="N758" s="2174"/>
      <c r="O758" s="2174"/>
      <c r="P758" s="2215"/>
      <c r="Q758" s="2174"/>
      <c r="R758" s="2174"/>
      <c r="S758" s="2174"/>
      <c r="T758" s="2174"/>
      <c r="U758" s="2174"/>
      <c r="V758" s="2174"/>
      <c r="W758" s="2174"/>
      <c r="X758" s="2174"/>
      <c r="Y758" s="2174"/>
      <c r="Z758" s="2174"/>
      <c r="AA758" s="2174"/>
      <c r="AB758" s="2174"/>
      <c r="AC758" s="2174"/>
    </row>
    <row r="759" spans="1:29">
      <c r="A759" s="2174"/>
      <c r="B759" s="2174"/>
      <c r="C759" s="2174"/>
      <c r="D759" s="2174"/>
      <c r="E759" s="2174"/>
      <c r="F759" s="2174"/>
      <c r="G759" s="2174"/>
      <c r="H759" s="2174"/>
      <c r="I759" s="2174"/>
      <c r="J759" s="2174"/>
      <c r="K759" s="2175"/>
      <c r="L759" s="2176"/>
      <c r="M759" s="2174"/>
      <c r="N759" s="2174"/>
      <c r="O759" s="2174"/>
      <c r="P759" s="2215"/>
      <c r="Q759" s="2174"/>
      <c r="R759" s="2174"/>
      <c r="S759" s="2174"/>
      <c r="T759" s="2174"/>
      <c r="U759" s="2174"/>
      <c r="V759" s="2174"/>
      <c r="W759" s="2174"/>
      <c r="X759" s="2174"/>
      <c r="Y759" s="2174"/>
      <c r="Z759" s="2174"/>
      <c r="AA759" s="2174"/>
      <c r="AB759" s="2174"/>
      <c r="AC759" s="2174"/>
    </row>
    <row r="760" spans="1:29">
      <c r="A760" s="2174"/>
      <c r="B760" s="2174"/>
      <c r="C760" s="2174"/>
      <c r="D760" s="2174"/>
      <c r="E760" s="2174"/>
      <c r="F760" s="2174"/>
      <c r="G760" s="2174"/>
      <c r="H760" s="2174"/>
      <c r="I760" s="2174"/>
      <c r="J760" s="2174"/>
      <c r="K760" s="2175"/>
      <c r="L760" s="2176"/>
      <c r="M760" s="2174"/>
      <c r="N760" s="2174"/>
      <c r="O760" s="2174"/>
      <c r="P760" s="2215"/>
      <c r="Q760" s="2174"/>
      <c r="R760" s="2174"/>
      <c r="S760" s="2174"/>
      <c r="T760" s="2174"/>
      <c r="U760" s="2174"/>
      <c r="V760" s="2174"/>
      <c r="W760" s="2174"/>
      <c r="X760" s="2174"/>
      <c r="Y760" s="2174"/>
      <c r="Z760" s="2174"/>
      <c r="AA760" s="2174"/>
      <c r="AB760" s="2174"/>
      <c r="AC760" s="2174"/>
    </row>
    <row r="761" spans="1:29">
      <c r="A761" s="2174"/>
      <c r="B761" s="2174"/>
      <c r="C761" s="2174"/>
      <c r="D761" s="2174"/>
      <c r="E761" s="2174"/>
      <c r="F761" s="2174"/>
      <c r="G761" s="2174"/>
      <c r="H761" s="2174"/>
      <c r="I761" s="2174"/>
      <c r="J761" s="2174"/>
      <c r="K761" s="2175"/>
      <c r="L761" s="2176"/>
      <c r="M761" s="2174"/>
      <c r="N761" s="2174"/>
      <c r="O761" s="2174"/>
      <c r="P761" s="2215"/>
      <c r="Q761" s="2174"/>
      <c r="R761" s="2174"/>
      <c r="S761" s="2174"/>
      <c r="T761" s="2174"/>
      <c r="U761" s="2174"/>
      <c r="V761" s="2174"/>
      <c r="W761" s="2174"/>
      <c r="X761" s="2174"/>
      <c r="Y761" s="2174"/>
      <c r="Z761" s="2174"/>
      <c r="AA761" s="2174"/>
      <c r="AB761" s="2174"/>
      <c r="AC761" s="2174"/>
    </row>
    <row r="762" spans="1:29">
      <c r="A762" s="2174"/>
      <c r="B762" s="2174"/>
      <c r="C762" s="2174"/>
      <c r="D762" s="2174"/>
      <c r="E762" s="2174"/>
      <c r="F762" s="2174"/>
      <c r="G762" s="2174"/>
      <c r="H762" s="2174"/>
      <c r="I762" s="2174"/>
      <c r="J762" s="2174"/>
      <c r="K762" s="2175"/>
      <c r="L762" s="2176"/>
      <c r="M762" s="2174"/>
      <c r="N762" s="2174"/>
      <c r="O762" s="2174"/>
      <c r="P762" s="2215"/>
      <c r="Q762" s="2174"/>
      <c r="R762" s="2174"/>
      <c r="S762" s="2174"/>
      <c r="T762" s="2174"/>
      <c r="U762" s="2174"/>
      <c r="V762" s="2174"/>
      <c r="W762" s="2174"/>
      <c r="X762" s="2174"/>
      <c r="Y762" s="2174"/>
      <c r="Z762" s="2174"/>
      <c r="AA762" s="2174"/>
      <c r="AB762" s="2174"/>
      <c r="AC762" s="2174"/>
    </row>
    <row r="763" spans="1:29">
      <c r="A763" s="2174"/>
      <c r="B763" s="2174"/>
      <c r="C763" s="2174"/>
      <c r="D763" s="2174"/>
      <c r="E763" s="2174"/>
      <c r="F763" s="2174"/>
      <c r="G763" s="2174"/>
      <c r="H763" s="2174"/>
      <c r="I763" s="2174"/>
      <c r="J763" s="2174"/>
      <c r="K763" s="2175"/>
      <c r="L763" s="2176"/>
      <c r="M763" s="2174"/>
      <c r="N763" s="2174"/>
      <c r="O763" s="2174"/>
      <c r="P763" s="2215"/>
      <c r="Q763" s="2174"/>
      <c r="R763" s="2174"/>
      <c r="S763" s="2174"/>
      <c r="T763" s="2174"/>
      <c r="U763" s="2174"/>
      <c r="V763" s="2174"/>
      <c r="W763" s="2174"/>
      <c r="X763" s="2174"/>
      <c r="Y763" s="2174"/>
      <c r="Z763" s="2174"/>
      <c r="AA763" s="2174"/>
      <c r="AB763" s="2174"/>
      <c r="AC763" s="2174"/>
    </row>
    <row r="764" spans="1:29">
      <c r="A764" s="2174"/>
      <c r="B764" s="2174"/>
      <c r="C764" s="2174"/>
      <c r="D764" s="2174"/>
      <c r="E764" s="2174"/>
      <c r="F764" s="2174"/>
      <c r="G764" s="2174"/>
      <c r="H764" s="2174"/>
      <c r="I764" s="2174"/>
      <c r="J764" s="2174"/>
      <c r="K764" s="2175"/>
      <c r="L764" s="2176"/>
      <c r="M764" s="2174"/>
      <c r="N764" s="2174"/>
      <c r="O764" s="2174"/>
      <c r="P764" s="2215"/>
      <c r="Q764" s="2174"/>
      <c r="R764" s="2174"/>
      <c r="S764" s="2174"/>
      <c r="T764" s="2174"/>
      <c r="U764" s="2174"/>
      <c r="V764" s="2174"/>
      <c r="W764" s="2174"/>
      <c r="X764" s="2174"/>
      <c r="Y764" s="2174"/>
      <c r="Z764" s="2174"/>
      <c r="AA764" s="2174"/>
      <c r="AB764" s="2174"/>
      <c r="AC764" s="2174"/>
    </row>
    <row r="765" spans="1:29">
      <c r="A765" s="2174"/>
      <c r="B765" s="2174"/>
      <c r="C765" s="2174"/>
      <c r="D765" s="2174"/>
      <c r="E765" s="2174"/>
      <c r="F765" s="2174"/>
      <c r="G765" s="2174"/>
      <c r="H765" s="2174"/>
      <c r="I765" s="2174"/>
      <c r="J765" s="2174"/>
      <c r="K765" s="2175"/>
      <c r="L765" s="2176"/>
      <c r="M765" s="2174"/>
      <c r="N765" s="2174"/>
      <c r="O765" s="2174"/>
      <c r="P765" s="2215"/>
      <c r="Q765" s="2174"/>
      <c r="R765" s="2174"/>
      <c r="S765" s="2174"/>
      <c r="T765" s="2174"/>
      <c r="U765" s="2174"/>
      <c r="V765" s="2174"/>
      <c r="W765" s="2174"/>
      <c r="X765" s="2174"/>
      <c r="Y765" s="2174"/>
      <c r="Z765" s="2174"/>
      <c r="AA765" s="2174"/>
      <c r="AB765" s="2174"/>
      <c r="AC765" s="2174"/>
    </row>
    <row r="766" spans="1:29">
      <c r="A766" s="2174"/>
      <c r="B766" s="2174"/>
      <c r="C766" s="2174"/>
      <c r="D766" s="2174"/>
      <c r="E766" s="2174"/>
      <c r="F766" s="2174"/>
      <c r="G766" s="2174"/>
      <c r="H766" s="2174"/>
      <c r="I766" s="2174"/>
      <c r="J766" s="2174"/>
      <c r="K766" s="2175"/>
      <c r="L766" s="2176"/>
      <c r="M766" s="2174"/>
      <c r="N766" s="2174"/>
      <c r="O766" s="2174"/>
      <c r="P766" s="2215"/>
      <c r="Q766" s="2174"/>
      <c r="R766" s="2174"/>
      <c r="S766" s="2174"/>
      <c r="T766" s="2174"/>
      <c r="U766" s="2174"/>
      <c r="V766" s="2174"/>
      <c r="W766" s="2174"/>
      <c r="X766" s="2174"/>
      <c r="Y766" s="2174"/>
      <c r="Z766" s="2174"/>
      <c r="AA766" s="2174"/>
      <c r="AB766" s="2174"/>
      <c r="AC766" s="2174"/>
    </row>
    <row r="767" spans="1:29">
      <c r="A767" s="2174"/>
      <c r="B767" s="2174"/>
      <c r="C767" s="2174"/>
      <c r="D767" s="2174"/>
      <c r="E767" s="2174"/>
      <c r="F767" s="2174"/>
      <c r="G767" s="2174"/>
      <c r="H767" s="2174"/>
      <c r="I767" s="2174"/>
      <c r="J767" s="2174"/>
      <c r="K767" s="2175"/>
      <c r="L767" s="2176"/>
      <c r="M767" s="2174"/>
      <c r="N767" s="2174"/>
      <c r="O767" s="2174"/>
      <c r="P767" s="2215"/>
      <c r="Q767" s="2174"/>
      <c r="R767" s="2174"/>
      <c r="S767" s="2174"/>
      <c r="T767" s="2174"/>
      <c r="U767" s="2174"/>
      <c r="V767" s="2174"/>
      <c r="W767" s="2174"/>
      <c r="X767" s="2174"/>
      <c r="Y767" s="2174"/>
      <c r="Z767" s="2174"/>
      <c r="AA767" s="2174"/>
      <c r="AB767" s="2174"/>
      <c r="AC767" s="2174"/>
    </row>
    <row r="768" spans="1:29">
      <c r="A768" s="2174"/>
      <c r="B768" s="2174"/>
      <c r="C768" s="2174"/>
      <c r="D768" s="2174"/>
      <c r="E768" s="2174"/>
      <c r="F768" s="2174"/>
      <c r="G768" s="2174"/>
      <c r="H768" s="2174"/>
      <c r="I768" s="2174"/>
      <c r="J768" s="2174"/>
      <c r="K768" s="2175"/>
      <c r="L768" s="2176"/>
      <c r="M768" s="2174"/>
      <c r="N768" s="2174"/>
      <c r="O768" s="2174"/>
      <c r="P768" s="2215"/>
      <c r="Q768" s="2174"/>
      <c r="R768" s="2174"/>
      <c r="S768" s="2174"/>
      <c r="T768" s="2174"/>
      <c r="U768" s="2174"/>
      <c r="V768" s="2174"/>
      <c r="W768" s="2174"/>
      <c r="X768" s="2174"/>
      <c r="Y768" s="2174"/>
      <c r="Z768" s="2174"/>
      <c r="AA768" s="2174"/>
      <c r="AB768" s="2174"/>
      <c r="AC768" s="2174"/>
    </row>
    <row r="769" spans="1:29">
      <c r="A769" s="2174"/>
      <c r="B769" s="2174"/>
      <c r="C769" s="2174"/>
      <c r="D769" s="2174"/>
      <c r="E769" s="2174"/>
      <c r="F769" s="2174"/>
      <c r="G769" s="2174"/>
      <c r="H769" s="2174"/>
      <c r="I769" s="2174"/>
      <c r="J769" s="2174"/>
      <c r="K769" s="2175"/>
      <c r="L769" s="2176"/>
      <c r="M769" s="2174"/>
      <c r="N769" s="2174"/>
      <c r="O769" s="2174"/>
      <c r="P769" s="2215"/>
      <c r="Q769" s="2174"/>
      <c r="R769" s="2174"/>
      <c r="S769" s="2174"/>
      <c r="T769" s="2174"/>
      <c r="U769" s="2174"/>
      <c r="V769" s="2174"/>
      <c r="W769" s="2174"/>
      <c r="X769" s="2174"/>
      <c r="Y769" s="2174"/>
      <c r="Z769" s="2174"/>
      <c r="AA769" s="2174"/>
      <c r="AB769" s="2174"/>
      <c r="AC769" s="2174"/>
    </row>
    <row r="770" spans="1:29">
      <c r="A770" s="2174"/>
      <c r="B770" s="2174"/>
      <c r="C770" s="2174"/>
      <c r="D770" s="2174"/>
      <c r="E770" s="2174"/>
      <c r="F770" s="2174"/>
      <c r="G770" s="2174"/>
      <c r="H770" s="2174"/>
      <c r="I770" s="2174"/>
      <c r="J770" s="2174"/>
      <c r="K770" s="2175"/>
      <c r="L770" s="2176"/>
      <c r="M770" s="2174"/>
      <c r="N770" s="2174"/>
      <c r="O770" s="2174"/>
      <c r="P770" s="2215"/>
      <c r="Q770" s="2174"/>
      <c r="R770" s="2174"/>
      <c r="S770" s="2174"/>
      <c r="T770" s="2174"/>
      <c r="U770" s="2174"/>
      <c r="V770" s="2174"/>
      <c r="W770" s="2174"/>
      <c r="X770" s="2174"/>
      <c r="Y770" s="2174"/>
      <c r="Z770" s="2174"/>
      <c r="AA770" s="2174"/>
      <c r="AB770" s="2174"/>
      <c r="AC770" s="2174"/>
    </row>
    <row r="771" spans="1:29">
      <c r="A771" s="2174"/>
      <c r="B771" s="2174"/>
      <c r="C771" s="2174"/>
      <c r="D771" s="2174"/>
      <c r="E771" s="2174"/>
      <c r="F771" s="2174"/>
      <c r="G771" s="2174"/>
      <c r="H771" s="2174"/>
      <c r="I771" s="2174"/>
      <c r="J771" s="2174"/>
      <c r="K771" s="2175"/>
      <c r="L771" s="2176"/>
      <c r="M771" s="2174"/>
      <c r="N771" s="2174"/>
      <c r="O771" s="2174"/>
      <c r="P771" s="2215"/>
      <c r="Q771" s="2174"/>
      <c r="R771" s="2174"/>
      <c r="S771" s="2174"/>
      <c r="T771" s="2174"/>
      <c r="U771" s="2174"/>
      <c r="V771" s="2174"/>
      <c r="W771" s="2174"/>
      <c r="X771" s="2174"/>
      <c r="Y771" s="2174"/>
      <c r="Z771" s="2174"/>
      <c r="AA771" s="2174"/>
      <c r="AB771" s="2174"/>
      <c r="AC771" s="2174"/>
    </row>
    <row r="772" spans="1:29">
      <c r="A772" s="2174"/>
      <c r="B772" s="2174"/>
      <c r="C772" s="2174"/>
      <c r="D772" s="2174"/>
      <c r="E772" s="2174"/>
      <c r="F772" s="2174"/>
      <c r="G772" s="2174"/>
      <c r="H772" s="2174"/>
      <c r="I772" s="2174"/>
      <c r="J772" s="2174"/>
      <c r="K772" s="2175"/>
      <c r="L772" s="2176"/>
      <c r="M772" s="2174"/>
      <c r="N772" s="2174"/>
      <c r="O772" s="2174"/>
      <c r="P772" s="2215"/>
      <c r="Q772" s="2174"/>
      <c r="R772" s="2174"/>
      <c r="S772" s="2174"/>
      <c r="T772" s="2174"/>
      <c r="U772" s="2174"/>
      <c r="V772" s="2174"/>
      <c r="W772" s="2174"/>
      <c r="X772" s="2174"/>
      <c r="Y772" s="2174"/>
      <c r="Z772" s="2174"/>
      <c r="AA772" s="2174"/>
      <c r="AB772" s="2174"/>
      <c r="AC772" s="2174"/>
    </row>
    <row r="773" spans="1:29">
      <c r="A773" s="2174"/>
      <c r="B773" s="2174"/>
      <c r="C773" s="2174"/>
      <c r="D773" s="2174"/>
      <c r="E773" s="2174"/>
      <c r="F773" s="2174"/>
      <c r="G773" s="2174"/>
      <c r="H773" s="2174"/>
      <c r="I773" s="2174"/>
      <c r="J773" s="2174"/>
      <c r="K773" s="2175"/>
      <c r="L773" s="2176"/>
      <c r="M773" s="2174"/>
      <c r="N773" s="2174"/>
      <c r="O773" s="2174"/>
      <c r="P773" s="2215"/>
      <c r="Q773" s="2174"/>
      <c r="R773" s="2174"/>
      <c r="S773" s="2174"/>
      <c r="T773" s="2174"/>
      <c r="U773" s="2174"/>
      <c r="V773" s="2174"/>
      <c r="W773" s="2174"/>
      <c r="X773" s="2174"/>
      <c r="Y773" s="2174"/>
      <c r="Z773" s="2174"/>
      <c r="AA773" s="2174"/>
      <c r="AB773" s="2174"/>
      <c r="AC773" s="2174"/>
    </row>
    <row r="774" spans="1:29">
      <c r="A774" s="2174"/>
      <c r="B774" s="2174"/>
      <c r="C774" s="2174"/>
      <c r="D774" s="2174"/>
      <c r="E774" s="2174"/>
      <c r="F774" s="2174"/>
      <c r="G774" s="2174"/>
      <c r="H774" s="2174"/>
      <c r="I774" s="2174"/>
      <c r="J774" s="2174"/>
      <c r="K774" s="2175"/>
      <c r="L774" s="2176"/>
      <c r="M774" s="2174"/>
      <c r="N774" s="2174"/>
      <c r="O774" s="2174"/>
      <c r="P774" s="2215"/>
      <c r="Q774" s="2174"/>
      <c r="R774" s="2174"/>
      <c r="S774" s="2174"/>
      <c r="T774" s="2174"/>
      <c r="U774" s="2174"/>
      <c r="V774" s="2174"/>
      <c r="W774" s="2174"/>
      <c r="X774" s="2174"/>
      <c r="Y774" s="2174"/>
      <c r="Z774" s="2174"/>
      <c r="AA774" s="2174"/>
      <c r="AB774" s="2174"/>
      <c r="AC774" s="2174"/>
    </row>
    <row r="775" spans="1:29">
      <c r="A775" s="2174"/>
      <c r="B775" s="2174"/>
      <c r="C775" s="2174"/>
      <c r="D775" s="2174"/>
      <c r="E775" s="2174"/>
      <c r="F775" s="2174"/>
      <c r="G775" s="2174"/>
      <c r="H775" s="2174"/>
      <c r="I775" s="2174"/>
      <c r="J775" s="2174"/>
      <c r="K775" s="2175"/>
      <c r="L775" s="2176"/>
      <c r="M775" s="2174"/>
      <c r="N775" s="2174"/>
      <c r="O775" s="2174"/>
      <c r="P775" s="2215"/>
      <c r="Q775" s="2174"/>
      <c r="R775" s="2174"/>
      <c r="S775" s="2174"/>
      <c r="T775" s="2174"/>
      <c r="U775" s="2174"/>
      <c r="V775" s="2174"/>
      <c r="W775" s="2174"/>
      <c r="X775" s="2174"/>
      <c r="Y775" s="2174"/>
      <c r="Z775" s="2174"/>
      <c r="AA775" s="2174"/>
      <c r="AB775" s="2174"/>
      <c r="AC775" s="2174"/>
    </row>
    <row r="776" spans="1:29">
      <c r="A776" s="2174"/>
      <c r="B776" s="2174"/>
      <c r="C776" s="2174"/>
      <c r="D776" s="2174"/>
      <c r="E776" s="2174"/>
      <c r="F776" s="2174"/>
      <c r="G776" s="2174"/>
      <c r="H776" s="2174"/>
      <c r="I776" s="2174"/>
      <c r="J776" s="2174"/>
      <c r="K776" s="2175"/>
      <c r="L776" s="2176"/>
      <c r="M776" s="2174"/>
      <c r="N776" s="2174"/>
      <c r="O776" s="2174"/>
      <c r="P776" s="2215"/>
      <c r="Q776" s="2174"/>
      <c r="R776" s="2174"/>
      <c r="S776" s="2174"/>
      <c r="T776" s="2174"/>
      <c r="U776" s="2174"/>
      <c r="V776" s="2174"/>
      <c r="W776" s="2174"/>
      <c r="X776" s="2174"/>
      <c r="Y776" s="2174"/>
      <c r="Z776" s="2174"/>
      <c r="AA776" s="2174"/>
      <c r="AB776" s="2174"/>
      <c r="AC776" s="2174"/>
    </row>
    <row r="777" spans="1:29">
      <c r="A777" s="2174"/>
      <c r="B777" s="2174"/>
      <c r="C777" s="2174"/>
      <c r="D777" s="2174"/>
      <c r="E777" s="2174"/>
      <c r="F777" s="2174"/>
      <c r="G777" s="2174"/>
      <c r="H777" s="2174"/>
      <c r="I777" s="2174"/>
      <c r="J777" s="2174"/>
      <c r="K777" s="2175"/>
      <c r="L777" s="2176"/>
      <c r="M777" s="2174"/>
      <c r="N777" s="2174"/>
      <c r="O777" s="2174"/>
      <c r="P777" s="2215"/>
      <c r="Q777" s="2174"/>
      <c r="R777" s="2174"/>
      <c r="S777" s="2174"/>
      <c r="T777" s="2174"/>
      <c r="U777" s="2174"/>
      <c r="V777" s="2174"/>
      <c r="W777" s="2174"/>
      <c r="X777" s="2174"/>
      <c r="Y777" s="2174"/>
      <c r="Z777" s="2174"/>
      <c r="AA777" s="2174"/>
      <c r="AB777" s="2174"/>
      <c r="AC777" s="2174"/>
    </row>
    <row r="778" spans="1:29">
      <c r="A778" s="2174"/>
      <c r="B778" s="2174"/>
      <c r="C778" s="2174"/>
      <c r="D778" s="2174"/>
      <c r="E778" s="2174"/>
      <c r="F778" s="2174"/>
      <c r="G778" s="2174"/>
      <c r="H778" s="2174"/>
      <c r="I778" s="2174"/>
      <c r="J778" s="2174"/>
      <c r="K778" s="2175"/>
      <c r="L778" s="2176"/>
      <c r="M778" s="2174"/>
      <c r="N778" s="2174"/>
      <c r="O778" s="2174"/>
      <c r="P778" s="2215"/>
      <c r="Q778" s="2174"/>
      <c r="R778" s="2174"/>
      <c r="S778" s="2174"/>
      <c r="T778" s="2174"/>
      <c r="U778" s="2174"/>
      <c r="V778" s="2174"/>
      <c r="W778" s="2174"/>
      <c r="X778" s="2174"/>
      <c r="Y778" s="2174"/>
      <c r="Z778" s="2174"/>
      <c r="AA778" s="2174"/>
      <c r="AB778" s="2174"/>
      <c r="AC778" s="2174"/>
    </row>
    <row r="779" spans="1:29">
      <c r="A779" s="2174"/>
      <c r="B779" s="2174"/>
      <c r="C779" s="2174"/>
      <c r="D779" s="2174"/>
      <c r="E779" s="2174"/>
      <c r="F779" s="2174"/>
      <c r="G779" s="2174"/>
      <c r="H779" s="2174"/>
      <c r="I779" s="2174"/>
      <c r="J779" s="2174"/>
      <c r="K779" s="2175"/>
      <c r="L779" s="2176"/>
      <c r="M779" s="2174"/>
      <c r="N779" s="2174"/>
      <c r="O779" s="2174"/>
      <c r="P779" s="2215"/>
      <c r="Q779" s="2174"/>
      <c r="R779" s="2174"/>
      <c r="S779" s="2174"/>
      <c r="T779" s="2174"/>
      <c r="U779" s="2174"/>
      <c r="V779" s="2174"/>
      <c r="W779" s="2174"/>
      <c r="X779" s="2174"/>
      <c r="Y779" s="2174"/>
      <c r="Z779" s="2174"/>
      <c r="AA779" s="2174"/>
      <c r="AB779" s="2174"/>
      <c r="AC779" s="2174"/>
    </row>
    <row r="780" spans="1:29">
      <c r="A780" s="2174"/>
      <c r="B780" s="2174"/>
      <c r="C780" s="2174"/>
      <c r="D780" s="2174"/>
      <c r="E780" s="2174"/>
      <c r="F780" s="2174"/>
      <c r="G780" s="2174"/>
      <c r="H780" s="2174"/>
      <c r="I780" s="2174"/>
      <c r="J780" s="2174"/>
      <c r="K780" s="2175"/>
      <c r="L780" s="2176"/>
      <c r="M780" s="2174"/>
      <c r="N780" s="2174"/>
      <c r="O780" s="2174"/>
      <c r="P780" s="2215"/>
      <c r="Q780" s="2174"/>
      <c r="R780" s="2174"/>
      <c r="S780" s="2174"/>
      <c r="T780" s="2174"/>
      <c r="U780" s="2174"/>
      <c r="V780" s="2174"/>
      <c r="W780" s="2174"/>
      <c r="X780" s="2174"/>
      <c r="Y780" s="2174"/>
      <c r="Z780" s="2174"/>
      <c r="AA780" s="2174"/>
      <c r="AB780" s="2174"/>
      <c r="AC780" s="2174"/>
    </row>
    <row r="781" spans="1:29">
      <c r="A781" s="2174"/>
      <c r="B781" s="2174"/>
      <c r="C781" s="2174"/>
      <c r="D781" s="2174"/>
      <c r="E781" s="2174"/>
      <c r="F781" s="2174"/>
      <c r="G781" s="2174"/>
      <c r="H781" s="2174"/>
      <c r="I781" s="2174"/>
      <c r="J781" s="2174"/>
      <c r="K781" s="2175"/>
      <c r="L781" s="2176"/>
      <c r="M781" s="2174"/>
      <c r="N781" s="2174"/>
      <c r="O781" s="2174"/>
      <c r="P781" s="2215"/>
      <c r="Q781" s="2174"/>
      <c r="R781" s="2174"/>
      <c r="S781" s="2174"/>
      <c r="T781" s="2174"/>
      <c r="U781" s="2174"/>
      <c r="V781" s="2174"/>
      <c r="W781" s="2174"/>
      <c r="X781" s="2174"/>
      <c r="Y781" s="2174"/>
      <c r="Z781" s="2174"/>
      <c r="AA781" s="2174"/>
      <c r="AB781" s="2174"/>
      <c r="AC781" s="2174"/>
    </row>
    <row r="782" spans="1:29">
      <c r="A782" s="2174"/>
      <c r="B782" s="2174"/>
      <c r="C782" s="2174"/>
      <c r="D782" s="2174"/>
      <c r="E782" s="2174"/>
      <c r="F782" s="2174"/>
      <c r="G782" s="2174"/>
      <c r="H782" s="2174"/>
      <c r="I782" s="2174"/>
      <c r="J782" s="2174"/>
      <c r="K782" s="2175"/>
      <c r="L782" s="2176"/>
      <c r="M782" s="2174"/>
      <c r="N782" s="2174"/>
      <c r="O782" s="2174"/>
      <c r="P782" s="2215"/>
      <c r="Q782" s="2174"/>
      <c r="R782" s="2174"/>
      <c r="S782" s="2174"/>
      <c r="T782" s="2174"/>
      <c r="U782" s="2174"/>
      <c r="V782" s="2174"/>
      <c r="W782" s="2174"/>
      <c r="X782" s="2174"/>
      <c r="Y782" s="2174"/>
      <c r="Z782" s="2174"/>
      <c r="AA782" s="2174"/>
      <c r="AB782" s="2174"/>
      <c r="AC782" s="2174"/>
    </row>
    <row r="783" spans="1:29">
      <c r="A783" s="2174"/>
      <c r="B783" s="2174"/>
      <c r="C783" s="2174"/>
      <c r="D783" s="2174"/>
      <c r="E783" s="2174"/>
      <c r="F783" s="2174"/>
      <c r="G783" s="2174"/>
      <c r="H783" s="2174"/>
      <c r="I783" s="2174"/>
      <c r="J783" s="2174"/>
      <c r="K783" s="2175"/>
      <c r="L783" s="2176"/>
      <c r="M783" s="2174"/>
      <c r="N783" s="2174"/>
      <c r="O783" s="2174"/>
      <c r="P783" s="2215"/>
      <c r="Q783" s="2174"/>
      <c r="R783" s="2174"/>
      <c r="S783" s="2174"/>
      <c r="T783" s="2174"/>
      <c r="U783" s="2174"/>
      <c r="V783" s="2174"/>
      <c r="W783" s="2174"/>
      <c r="X783" s="2174"/>
      <c r="Y783" s="2174"/>
      <c r="Z783" s="2174"/>
      <c r="AA783" s="2174"/>
      <c r="AB783" s="2174"/>
      <c r="AC783" s="2174"/>
    </row>
    <row r="784" spans="1:29">
      <c r="A784" s="2174"/>
      <c r="B784" s="2174"/>
      <c r="C784" s="2174"/>
      <c r="D784" s="2174"/>
      <c r="E784" s="2174"/>
      <c r="F784" s="2174"/>
      <c r="G784" s="2174"/>
      <c r="H784" s="2174"/>
      <c r="I784" s="2174"/>
      <c r="J784" s="2174"/>
      <c r="K784" s="2175"/>
      <c r="L784" s="2176"/>
      <c r="M784" s="2174"/>
      <c r="N784" s="2174"/>
      <c r="O784" s="2174"/>
      <c r="P784" s="2215"/>
      <c r="Q784" s="2174"/>
      <c r="R784" s="2174"/>
      <c r="S784" s="2174"/>
      <c r="T784" s="2174"/>
      <c r="U784" s="2174"/>
      <c r="V784" s="2174"/>
      <c r="W784" s="2174"/>
      <c r="X784" s="2174"/>
      <c r="Y784" s="2174"/>
      <c r="Z784" s="2174"/>
      <c r="AA784" s="2174"/>
      <c r="AB784" s="2174"/>
      <c r="AC784" s="2174"/>
    </row>
    <row r="785" spans="1:29">
      <c r="A785" s="2174"/>
      <c r="B785" s="2174"/>
      <c r="C785" s="2174"/>
      <c r="D785" s="2174"/>
      <c r="E785" s="2174"/>
      <c r="F785" s="2174"/>
      <c r="G785" s="2174"/>
      <c r="H785" s="2174"/>
      <c r="I785" s="2174"/>
      <c r="J785" s="2174"/>
      <c r="K785" s="2175"/>
      <c r="L785" s="2176"/>
      <c r="M785" s="2174"/>
      <c r="N785" s="2174"/>
      <c r="O785" s="2174"/>
      <c r="P785" s="2215"/>
      <c r="Q785" s="2174"/>
      <c r="R785" s="2174"/>
      <c r="S785" s="2174"/>
      <c r="T785" s="2174"/>
      <c r="U785" s="2174"/>
      <c r="V785" s="2174"/>
      <c r="W785" s="2174"/>
      <c r="X785" s="2174"/>
      <c r="Y785" s="2174"/>
      <c r="Z785" s="2174"/>
      <c r="AA785" s="2174"/>
      <c r="AB785" s="2174"/>
      <c r="AC785" s="2174"/>
    </row>
    <row r="786" spans="1:29">
      <c r="A786" s="2174"/>
      <c r="B786" s="2174"/>
      <c r="C786" s="2174"/>
      <c r="D786" s="2174"/>
      <c r="E786" s="2174"/>
      <c r="F786" s="2174"/>
      <c r="G786" s="2174"/>
      <c r="H786" s="2174"/>
      <c r="I786" s="2174"/>
      <c r="J786" s="2174"/>
      <c r="K786" s="2175"/>
      <c r="L786" s="2176"/>
      <c r="M786" s="2174"/>
      <c r="N786" s="2174"/>
      <c r="O786" s="2174"/>
      <c r="P786" s="2215"/>
      <c r="Q786" s="2174"/>
      <c r="R786" s="2174"/>
      <c r="S786" s="2174"/>
      <c r="T786" s="2174"/>
      <c r="U786" s="2174"/>
      <c r="V786" s="2174"/>
      <c r="W786" s="2174"/>
      <c r="X786" s="2174"/>
      <c r="Y786" s="2174"/>
      <c r="Z786" s="2174"/>
      <c r="AA786" s="2174"/>
      <c r="AB786" s="2174"/>
      <c r="AC786" s="2174"/>
    </row>
    <row r="787" spans="1:29">
      <c r="A787" s="2174"/>
      <c r="B787" s="2174"/>
      <c r="C787" s="2174"/>
      <c r="D787" s="2174"/>
      <c r="E787" s="2174"/>
      <c r="F787" s="2174"/>
      <c r="G787" s="2174"/>
      <c r="H787" s="2174"/>
      <c r="I787" s="2174"/>
      <c r="J787" s="2174"/>
      <c r="K787" s="2175"/>
      <c r="L787" s="2176"/>
      <c r="M787" s="2174"/>
      <c r="N787" s="2174"/>
      <c r="O787" s="2174"/>
      <c r="P787" s="2215"/>
      <c r="Q787" s="2174"/>
      <c r="R787" s="2174"/>
      <c r="S787" s="2174"/>
      <c r="T787" s="2174"/>
      <c r="U787" s="2174"/>
      <c r="V787" s="2174"/>
      <c r="W787" s="2174"/>
      <c r="X787" s="2174"/>
      <c r="Y787" s="2174"/>
      <c r="Z787" s="2174"/>
      <c r="AA787" s="2174"/>
      <c r="AB787" s="2174"/>
      <c r="AC787" s="2174"/>
    </row>
    <row r="788" spans="1:29">
      <c r="A788" s="2174"/>
      <c r="B788" s="2174"/>
      <c r="C788" s="2174"/>
      <c r="D788" s="2174"/>
      <c r="E788" s="2174"/>
      <c r="F788" s="2174"/>
      <c r="G788" s="2174"/>
      <c r="H788" s="2174"/>
      <c r="I788" s="2174"/>
      <c r="J788" s="2174"/>
      <c r="K788" s="2175"/>
      <c r="L788" s="2176"/>
      <c r="M788" s="2174"/>
      <c r="N788" s="2174"/>
      <c r="O788" s="2174"/>
      <c r="P788" s="2215"/>
      <c r="Q788" s="2174"/>
      <c r="R788" s="2174"/>
      <c r="S788" s="2174"/>
      <c r="T788" s="2174"/>
      <c r="U788" s="2174"/>
      <c r="V788" s="2174"/>
      <c r="W788" s="2174"/>
      <c r="X788" s="2174"/>
      <c r="Y788" s="2174"/>
      <c r="Z788" s="2174"/>
      <c r="AA788" s="2174"/>
      <c r="AB788" s="2174"/>
      <c r="AC788" s="2174"/>
    </row>
    <row r="789" spans="1:29">
      <c r="A789" s="2174"/>
      <c r="B789" s="2174"/>
      <c r="C789" s="2174"/>
      <c r="D789" s="2174"/>
      <c r="E789" s="2174"/>
      <c r="F789" s="2174"/>
      <c r="G789" s="2174"/>
      <c r="H789" s="2174"/>
      <c r="I789" s="2174"/>
      <c r="J789" s="2174"/>
      <c r="K789" s="2175"/>
      <c r="L789" s="2176"/>
      <c r="M789" s="2174"/>
      <c r="N789" s="2174"/>
      <c r="O789" s="2174"/>
      <c r="P789" s="2215"/>
      <c r="Q789" s="2174"/>
      <c r="R789" s="2174"/>
      <c r="S789" s="2174"/>
      <c r="T789" s="2174"/>
      <c r="U789" s="2174"/>
      <c r="V789" s="2174"/>
      <c r="W789" s="2174"/>
      <c r="X789" s="2174"/>
      <c r="Y789" s="2174"/>
      <c r="Z789" s="2174"/>
      <c r="AA789" s="2174"/>
      <c r="AB789" s="2174"/>
      <c r="AC789" s="2174"/>
    </row>
    <row r="790" spans="1:29">
      <c r="A790" s="2174"/>
      <c r="B790" s="2174"/>
      <c r="C790" s="2174"/>
      <c r="D790" s="2174"/>
      <c r="E790" s="2174"/>
      <c r="F790" s="2174"/>
      <c r="G790" s="2174"/>
      <c r="H790" s="2174"/>
      <c r="I790" s="2174"/>
      <c r="J790" s="2174"/>
      <c r="K790" s="2175"/>
      <c r="L790" s="2176"/>
      <c r="M790" s="2174"/>
      <c r="N790" s="2174"/>
      <c r="O790" s="2174"/>
      <c r="P790" s="2215"/>
      <c r="Q790" s="2174"/>
      <c r="R790" s="2174"/>
      <c r="S790" s="2174"/>
      <c r="T790" s="2174"/>
      <c r="U790" s="2174"/>
      <c r="V790" s="2174"/>
      <c r="W790" s="2174"/>
      <c r="X790" s="2174"/>
      <c r="Y790" s="2174"/>
      <c r="Z790" s="2174"/>
      <c r="AA790" s="2174"/>
      <c r="AB790" s="2174"/>
      <c r="AC790" s="2174"/>
    </row>
    <row r="791" spans="1:29">
      <c r="A791" s="2174"/>
      <c r="B791" s="2174"/>
      <c r="C791" s="2174"/>
      <c r="D791" s="2174"/>
      <c r="E791" s="2174"/>
      <c r="F791" s="2174"/>
      <c r="G791" s="2174"/>
      <c r="H791" s="2174"/>
      <c r="I791" s="2174"/>
      <c r="J791" s="2174"/>
      <c r="K791" s="2175"/>
      <c r="L791" s="2176"/>
      <c r="M791" s="2174"/>
      <c r="N791" s="2174"/>
      <c r="O791" s="2174"/>
      <c r="P791" s="2215"/>
      <c r="Q791" s="2174"/>
      <c r="R791" s="2174"/>
      <c r="S791" s="2174"/>
      <c r="T791" s="2174"/>
      <c r="U791" s="2174"/>
      <c r="V791" s="2174"/>
      <c r="W791" s="2174"/>
      <c r="X791" s="2174"/>
      <c r="Y791" s="2174"/>
      <c r="Z791" s="2174"/>
      <c r="AA791" s="2174"/>
      <c r="AB791" s="2174"/>
      <c r="AC791" s="2174"/>
    </row>
    <row r="792" spans="1:29">
      <c r="A792" s="2174"/>
      <c r="B792" s="2174"/>
      <c r="C792" s="2174"/>
      <c r="D792" s="2174"/>
      <c r="E792" s="2174"/>
      <c r="F792" s="2174"/>
      <c r="G792" s="2174"/>
      <c r="H792" s="2174"/>
      <c r="I792" s="2174"/>
      <c r="J792" s="2174"/>
      <c r="K792" s="2175"/>
      <c r="L792" s="2176"/>
      <c r="M792" s="2174"/>
      <c r="N792" s="2174"/>
      <c r="O792" s="2174"/>
      <c r="P792" s="2215"/>
      <c r="Q792" s="2174"/>
      <c r="R792" s="2174"/>
      <c r="S792" s="2174"/>
      <c r="T792" s="2174"/>
      <c r="U792" s="2174"/>
      <c r="V792" s="2174"/>
      <c r="W792" s="2174"/>
      <c r="X792" s="2174"/>
      <c r="Y792" s="2174"/>
      <c r="Z792" s="2174"/>
      <c r="AA792" s="2174"/>
      <c r="AB792" s="2174"/>
      <c r="AC792" s="2174"/>
    </row>
    <row r="793" spans="1:29">
      <c r="A793" s="2174"/>
      <c r="B793" s="2174"/>
      <c r="C793" s="2174"/>
      <c r="D793" s="2174"/>
      <c r="E793" s="2174"/>
      <c r="F793" s="2174"/>
      <c r="G793" s="2174"/>
      <c r="H793" s="2174"/>
      <c r="I793" s="2174"/>
      <c r="J793" s="2174"/>
      <c r="K793" s="2175"/>
      <c r="L793" s="2176"/>
      <c r="M793" s="2174"/>
      <c r="N793" s="2174"/>
      <c r="O793" s="2174"/>
      <c r="P793" s="2215"/>
      <c r="Q793" s="2174"/>
      <c r="R793" s="2174"/>
      <c r="S793" s="2174"/>
      <c r="T793" s="2174"/>
      <c r="U793" s="2174"/>
      <c r="V793" s="2174"/>
      <c r="W793" s="2174"/>
      <c r="X793" s="2174"/>
      <c r="Y793" s="2174"/>
      <c r="Z793" s="2174"/>
      <c r="AA793" s="2174"/>
      <c r="AB793" s="2174"/>
      <c r="AC793" s="2174"/>
    </row>
    <row r="794" spans="1:29">
      <c r="A794" s="2174"/>
      <c r="B794" s="2174"/>
      <c r="C794" s="2174"/>
      <c r="D794" s="2174"/>
      <c r="E794" s="2174"/>
      <c r="F794" s="2174"/>
      <c r="G794" s="2174"/>
      <c r="H794" s="2174"/>
      <c r="I794" s="2174"/>
      <c r="J794" s="2174"/>
      <c r="K794" s="2175"/>
      <c r="L794" s="2176"/>
      <c r="M794" s="2174"/>
      <c r="N794" s="2174"/>
      <c r="O794" s="2174"/>
      <c r="P794" s="2215"/>
      <c r="Q794" s="2174"/>
      <c r="R794" s="2174"/>
      <c r="S794" s="2174"/>
      <c r="T794" s="2174"/>
      <c r="U794" s="2174"/>
      <c r="V794" s="2174"/>
      <c r="W794" s="2174"/>
      <c r="X794" s="2174"/>
      <c r="Y794" s="2174"/>
      <c r="Z794" s="2174"/>
      <c r="AA794" s="2174"/>
      <c r="AB794" s="2174"/>
      <c r="AC794" s="2174"/>
    </row>
    <row r="795" spans="1:29">
      <c r="A795" s="2174"/>
      <c r="B795" s="2174"/>
      <c r="C795" s="2174"/>
      <c r="D795" s="2174"/>
      <c r="E795" s="2174"/>
      <c r="F795" s="2174"/>
      <c r="G795" s="2174"/>
      <c r="H795" s="2174"/>
      <c r="I795" s="2174"/>
      <c r="J795" s="2174"/>
      <c r="K795" s="2175"/>
      <c r="L795" s="2176"/>
      <c r="M795" s="2174"/>
      <c r="N795" s="2174"/>
      <c r="O795" s="2174"/>
      <c r="P795" s="2215"/>
      <c r="Q795" s="2174"/>
      <c r="R795" s="2174"/>
      <c r="S795" s="2174"/>
      <c r="T795" s="2174"/>
      <c r="U795" s="2174"/>
      <c r="V795" s="2174"/>
      <c r="W795" s="2174"/>
      <c r="X795" s="2174"/>
      <c r="Y795" s="2174"/>
      <c r="Z795" s="2174"/>
      <c r="AA795" s="2174"/>
      <c r="AB795" s="2174"/>
      <c r="AC795" s="2174"/>
    </row>
    <row r="796" spans="1:29">
      <c r="A796" s="2174"/>
      <c r="B796" s="2174"/>
      <c r="C796" s="2174"/>
      <c r="D796" s="2174"/>
      <c r="E796" s="2174"/>
      <c r="F796" s="2174"/>
      <c r="G796" s="2174"/>
      <c r="H796" s="2174"/>
      <c r="I796" s="2174"/>
      <c r="J796" s="2174"/>
      <c r="K796" s="2175"/>
      <c r="L796" s="2176"/>
      <c r="M796" s="2174"/>
      <c r="N796" s="2174"/>
      <c r="O796" s="2174"/>
      <c r="P796" s="2215"/>
      <c r="Q796" s="2174"/>
      <c r="R796" s="2174"/>
      <c r="S796" s="2174"/>
      <c r="T796" s="2174"/>
      <c r="U796" s="2174"/>
      <c r="V796" s="2174"/>
      <c r="W796" s="2174"/>
      <c r="X796" s="2174"/>
      <c r="Y796" s="2174"/>
      <c r="Z796" s="2174"/>
      <c r="AA796" s="2174"/>
      <c r="AB796" s="2174"/>
      <c r="AC796" s="2174"/>
    </row>
    <row r="797" spans="1:29">
      <c r="A797" s="2174"/>
      <c r="B797" s="2174"/>
      <c r="C797" s="2174"/>
      <c r="D797" s="2174"/>
      <c r="E797" s="2174"/>
      <c r="F797" s="2174"/>
      <c r="G797" s="2174"/>
      <c r="H797" s="2174"/>
      <c r="I797" s="2174"/>
      <c r="J797" s="2174"/>
      <c r="K797" s="2175"/>
      <c r="L797" s="2176"/>
      <c r="M797" s="2174"/>
      <c r="N797" s="2174"/>
      <c r="O797" s="2174"/>
      <c r="P797" s="2215"/>
      <c r="Q797" s="2174"/>
      <c r="R797" s="2174"/>
      <c r="S797" s="2174"/>
      <c r="T797" s="2174"/>
      <c r="U797" s="2174"/>
      <c r="V797" s="2174"/>
      <c r="W797" s="2174"/>
      <c r="X797" s="2174"/>
      <c r="Y797" s="2174"/>
      <c r="Z797" s="2174"/>
      <c r="AA797" s="2174"/>
      <c r="AB797" s="2174"/>
      <c r="AC797" s="2174"/>
    </row>
    <row r="798" spans="1:29">
      <c r="A798" s="2174"/>
      <c r="B798" s="2174"/>
      <c r="C798" s="2174"/>
      <c r="D798" s="2174"/>
      <c r="E798" s="2174"/>
      <c r="F798" s="2174"/>
      <c r="G798" s="2174"/>
      <c r="H798" s="2174"/>
      <c r="I798" s="2174"/>
      <c r="J798" s="2174"/>
      <c r="K798" s="2175"/>
      <c r="L798" s="2176"/>
      <c r="M798" s="2174"/>
      <c r="N798" s="2174"/>
      <c r="O798" s="2174"/>
      <c r="P798" s="2215"/>
      <c r="Q798" s="2174"/>
      <c r="R798" s="2174"/>
      <c r="S798" s="2174"/>
      <c r="T798" s="2174"/>
      <c r="U798" s="2174"/>
      <c r="V798" s="2174"/>
      <c r="W798" s="2174"/>
      <c r="X798" s="2174"/>
      <c r="Y798" s="2174"/>
      <c r="Z798" s="2174"/>
      <c r="AA798" s="2174"/>
      <c r="AB798" s="2174"/>
      <c r="AC798" s="2174"/>
    </row>
    <row r="799" spans="1:29">
      <c r="A799" s="2174"/>
      <c r="B799" s="2174"/>
      <c r="C799" s="2174"/>
      <c r="D799" s="2174"/>
      <c r="E799" s="2174"/>
      <c r="F799" s="2174"/>
      <c r="G799" s="2174"/>
      <c r="H799" s="2174"/>
      <c r="I799" s="2174"/>
      <c r="J799" s="2174"/>
      <c r="K799" s="2175"/>
      <c r="L799" s="2176"/>
      <c r="M799" s="2174"/>
      <c r="N799" s="2174"/>
      <c r="O799" s="2174"/>
      <c r="P799" s="2215"/>
      <c r="Q799" s="2174"/>
      <c r="R799" s="2174"/>
      <c r="S799" s="2174"/>
      <c r="T799" s="2174"/>
      <c r="U799" s="2174"/>
      <c r="V799" s="2174"/>
      <c r="W799" s="2174"/>
      <c r="X799" s="2174"/>
      <c r="Y799" s="2174"/>
      <c r="Z799" s="2174"/>
      <c r="AA799" s="2174"/>
      <c r="AB799" s="2174"/>
      <c r="AC799" s="2174"/>
    </row>
    <row r="800" spans="1:29">
      <c r="A800" s="2174"/>
      <c r="B800" s="2174"/>
      <c r="C800" s="2174"/>
      <c r="D800" s="2174"/>
      <c r="E800" s="2174"/>
      <c r="F800" s="2174"/>
      <c r="G800" s="2174"/>
      <c r="H800" s="2174"/>
      <c r="I800" s="2174"/>
      <c r="J800" s="2174"/>
      <c r="K800" s="2175"/>
      <c r="L800" s="2176"/>
      <c r="M800" s="2174"/>
      <c r="N800" s="2174"/>
      <c r="O800" s="2174"/>
      <c r="P800" s="2215"/>
      <c r="Q800" s="2174"/>
      <c r="R800" s="2174"/>
      <c r="S800" s="2174"/>
      <c r="T800" s="2174"/>
      <c r="U800" s="2174"/>
      <c r="V800" s="2174"/>
      <c r="W800" s="2174"/>
      <c r="X800" s="2174"/>
      <c r="Y800" s="2174"/>
      <c r="Z800" s="2174"/>
      <c r="AA800" s="2174"/>
      <c r="AB800" s="2174"/>
      <c r="AC800" s="2174"/>
    </row>
    <row r="801" spans="1:29">
      <c r="A801" s="2174"/>
      <c r="B801" s="2174"/>
      <c r="C801" s="2174"/>
      <c r="D801" s="2174"/>
      <c r="E801" s="2174"/>
      <c r="F801" s="2174"/>
      <c r="G801" s="2174"/>
      <c r="H801" s="2174"/>
      <c r="I801" s="2174"/>
      <c r="J801" s="2174"/>
      <c r="K801" s="2175"/>
      <c r="L801" s="2176"/>
      <c r="M801" s="2174"/>
      <c r="N801" s="2174"/>
      <c r="O801" s="2174"/>
      <c r="P801" s="2215"/>
      <c r="Q801" s="2174"/>
      <c r="R801" s="2174"/>
      <c r="S801" s="2174"/>
      <c r="T801" s="2174"/>
      <c r="U801" s="2174"/>
      <c r="V801" s="2174"/>
      <c r="W801" s="2174"/>
      <c r="X801" s="2174"/>
      <c r="Y801" s="2174"/>
      <c r="Z801" s="2174"/>
      <c r="AA801" s="2174"/>
      <c r="AB801" s="2174"/>
      <c r="AC801" s="2174"/>
    </row>
    <row r="802" spans="1:29">
      <c r="A802" s="2174"/>
      <c r="B802" s="2174"/>
      <c r="C802" s="2174"/>
      <c r="D802" s="2174"/>
      <c r="E802" s="2174"/>
      <c r="F802" s="2174"/>
      <c r="G802" s="2174"/>
      <c r="H802" s="2174"/>
      <c r="I802" s="2174"/>
      <c r="J802" s="2174"/>
      <c r="K802" s="2175"/>
      <c r="L802" s="2176"/>
      <c r="M802" s="2174"/>
      <c r="N802" s="2174"/>
      <c r="O802" s="2174"/>
      <c r="P802" s="2215"/>
      <c r="Q802" s="2174"/>
      <c r="R802" s="2174"/>
      <c r="S802" s="2174"/>
      <c r="T802" s="2174"/>
      <c r="U802" s="2174"/>
      <c r="V802" s="2174"/>
      <c r="W802" s="2174"/>
      <c r="X802" s="2174"/>
      <c r="Y802" s="2174"/>
      <c r="Z802" s="2174"/>
      <c r="AA802" s="2174"/>
      <c r="AB802" s="2174"/>
      <c r="AC802" s="2174"/>
    </row>
    <row r="803" spans="1:29">
      <c r="A803" s="2174"/>
      <c r="B803" s="2174"/>
      <c r="C803" s="2174"/>
      <c r="D803" s="2174"/>
      <c r="E803" s="2174"/>
      <c r="F803" s="2174"/>
      <c r="G803" s="2174"/>
      <c r="H803" s="2174"/>
      <c r="I803" s="2174"/>
      <c r="J803" s="2174"/>
      <c r="K803" s="2175"/>
      <c r="L803" s="2176"/>
      <c r="M803" s="2174"/>
      <c r="N803" s="2174"/>
      <c r="O803" s="2174"/>
      <c r="P803" s="2215"/>
      <c r="Q803" s="2174"/>
      <c r="R803" s="2174"/>
      <c r="S803" s="2174"/>
      <c r="T803" s="2174"/>
      <c r="U803" s="2174"/>
      <c r="V803" s="2174"/>
      <c r="W803" s="2174"/>
      <c r="X803" s="2174"/>
      <c r="Y803" s="2174"/>
      <c r="Z803" s="2174"/>
      <c r="AA803" s="2174"/>
      <c r="AB803" s="2174"/>
      <c r="AC803" s="2174"/>
    </row>
    <row r="804" spans="1:29">
      <c r="A804" s="2174"/>
      <c r="B804" s="2174"/>
      <c r="C804" s="2174"/>
      <c r="D804" s="2174"/>
      <c r="E804" s="2174"/>
      <c r="F804" s="2174"/>
      <c r="G804" s="2174"/>
      <c r="H804" s="2174"/>
      <c r="I804" s="2174"/>
      <c r="J804" s="2174"/>
      <c r="K804" s="2175"/>
      <c r="L804" s="2176"/>
      <c r="M804" s="2174"/>
      <c r="N804" s="2174"/>
      <c r="O804" s="2174"/>
      <c r="P804" s="2215"/>
      <c r="Q804" s="2174"/>
      <c r="R804" s="2174"/>
      <c r="S804" s="2174"/>
      <c r="T804" s="2174"/>
      <c r="U804" s="2174"/>
      <c r="V804" s="2174"/>
      <c r="W804" s="2174"/>
      <c r="X804" s="2174"/>
      <c r="Y804" s="2174"/>
      <c r="Z804" s="2174"/>
      <c r="AA804" s="2174"/>
      <c r="AB804" s="2174"/>
      <c r="AC804" s="2174"/>
    </row>
    <row r="805" spans="1:29">
      <c r="A805" s="2174"/>
      <c r="B805" s="2174"/>
      <c r="C805" s="2174"/>
      <c r="D805" s="2174"/>
      <c r="E805" s="2174"/>
      <c r="F805" s="2174"/>
      <c r="G805" s="2174"/>
      <c r="H805" s="2174"/>
      <c r="I805" s="2174"/>
      <c r="J805" s="2174"/>
      <c r="K805" s="2175"/>
      <c r="L805" s="2176"/>
      <c r="M805" s="2174"/>
      <c r="N805" s="2174"/>
      <c r="O805" s="2174"/>
      <c r="P805" s="2215"/>
      <c r="Q805" s="2174"/>
      <c r="R805" s="2174"/>
      <c r="S805" s="2174"/>
      <c r="T805" s="2174"/>
      <c r="U805" s="2174"/>
      <c r="V805" s="2174"/>
      <c r="W805" s="2174"/>
      <c r="X805" s="2174"/>
      <c r="Y805" s="2174"/>
      <c r="Z805" s="2174"/>
      <c r="AA805" s="2174"/>
      <c r="AB805" s="2174"/>
      <c r="AC805" s="2174"/>
    </row>
    <row r="806" spans="1:29">
      <c r="A806" s="2174"/>
      <c r="B806" s="2174"/>
      <c r="C806" s="2174"/>
      <c r="D806" s="2174"/>
      <c r="E806" s="2174"/>
      <c r="F806" s="2174"/>
      <c r="G806" s="2174"/>
      <c r="H806" s="2174"/>
      <c r="I806" s="2174"/>
      <c r="J806" s="2174"/>
      <c r="K806" s="2175"/>
      <c r="L806" s="2176"/>
      <c r="M806" s="2174"/>
      <c r="N806" s="2174"/>
      <c r="O806" s="2174"/>
      <c r="P806" s="2215"/>
      <c r="Q806" s="2174"/>
      <c r="R806" s="2174"/>
      <c r="S806" s="2174"/>
      <c r="T806" s="2174"/>
      <c r="U806" s="2174"/>
      <c r="V806" s="2174"/>
      <c r="W806" s="2174"/>
      <c r="X806" s="2174"/>
      <c r="Y806" s="2174"/>
      <c r="Z806" s="2174"/>
      <c r="AA806" s="2174"/>
      <c r="AB806" s="2174"/>
      <c r="AC806" s="2174"/>
    </row>
    <row r="807" spans="1:29">
      <c r="A807" s="2174"/>
      <c r="B807" s="2174"/>
      <c r="C807" s="2174"/>
      <c r="D807" s="2174"/>
      <c r="E807" s="2174"/>
      <c r="F807" s="2174"/>
      <c r="G807" s="2174"/>
      <c r="H807" s="2174"/>
      <c r="I807" s="2174"/>
      <c r="J807" s="2174"/>
      <c r="K807" s="2175"/>
      <c r="L807" s="2176"/>
      <c r="M807" s="2174"/>
      <c r="N807" s="2174"/>
      <c r="O807" s="2174"/>
      <c r="P807" s="2215"/>
      <c r="Q807" s="2174"/>
      <c r="R807" s="2174"/>
      <c r="S807" s="2174"/>
      <c r="T807" s="2174"/>
      <c r="U807" s="2174"/>
      <c r="V807" s="2174"/>
      <c r="W807" s="2174"/>
      <c r="X807" s="2174"/>
      <c r="Y807" s="2174"/>
      <c r="Z807" s="2174"/>
      <c r="AA807" s="2174"/>
      <c r="AB807" s="2174"/>
      <c r="AC807" s="2174"/>
    </row>
    <row r="808" spans="1:29">
      <c r="A808" s="2174"/>
      <c r="B808" s="2174"/>
      <c r="C808" s="2174"/>
      <c r="D808" s="2174"/>
      <c r="E808" s="2174"/>
      <c r="F808" s="2174"/>
      <c r="G808" s="2174"/>
      <c r="H808" s="2174"/>
      <c r="I808" s="2174"/>
      <c r="J808" s="2174"/>
      <c r="K808" s="2175"/>
      <c r="L808" s="2176"/>
      <c r="M808" s="2174"/>
      <c r="N808" s="2174"/>
      <c r="O808" s="2174"/>
      <c r="P808" s="2215"/>
      <c r="Q808" s="2174"/>
      <c r="R808" s="2174"/>
      <c r="S808" s="2174"/>
      <c r="T808" s="2174"/>
      <c r="U808" s="2174"/>
      <c r="V808" s="2174"/>
      <c r="W808" s="2174"/>
      <c r="X808" s="2174"/>
      <c r="Y808" s="2174"/>
      <c r="Z808" s="2174"/>
      <c r="AA808" s="2174"/>
      <c r="AB808" s="2174"/>
      <c r="AC808" s="2174"/>
    </row>
    <row r="809" spans="1:29">
      <c r="A809" s="2174"/>
      <c r="B809" s="2174"/>
      <c r="C809" s="2174"/>
      <c r="D809" s="2174"/>
      <c r="E809" s="2174"/>
      <c r="F809" s="2174"/>
      <c r="G809" s="2174"/>
      <c r="H809" s="2174"/>
      <c r="I809" s="2174"/>
      <c r="J809" s="2174"/>
      <c r="K809" s="2175"/>
      <c r="L809" s="2176"/>
      <c r="M809" s="2174"/>
      <c r="N809" s="2174"/>
      <c r="O809" s="2174"/>
      <c r="P809" s="2215"/>
      <c r="Q809" s="2174"/>
      <c r="R809" s="2174"/>
      <c r="S809" s="2174"/>
      <c r="T809" s="2174"/>
      <c r="U809" s="2174"/>
      <c r="V809" s="2174"/>
      <c r="W809" s="2174"/>
      <c r="X809" s="2174"/>
      <c r="Y809" s="2174"/>
      <c r="Z809" s="2174"/>
      <c r="AA809" s="2174"/>
      <c r="AB809" s="2174"/>
      <c r="AC809" s="2174"/>
    </row>
    <row r="810" spans="1:29">
      <c r="A810" s="2174"/>
      <c r="B810" s="2174"/>
      <c r="C810" s="2174"/>
      <c r="D810" s="2174"/>
      <c r="E810" s="2174"/>
      <c r="F810" s="2174"/>
      <c r="G810" s="2174"/>
      <c r="H810" s="2174"/>
      <c r="I810" s="2174"/>
      <c r="J810" s="2174"/>
      <c r="K810" s="2175"/>
      <c r="L810" s="2176"/>
      <c r="M810" s="2174"/>
      <c r="N810" s="2174"/>
      <c r="O810" s="2174"/>
      <c r="P810" s="2215"/>
      <c r="Q810" s="2174"/>
      <c r="R810" s="2174"/>
      <c r="S810" s="2174"/>
      <c r="T810" s="2174"/>
      <c r="U810" s="2174"/>
      <c r="V810" s="2174"/>
      <c r="W810" s="2174"/>
      <c r="X810" s="2174"/>
      <c r="Y810" s="2174"/>
      <c r="Z810" s="2174"/>
      <c r="AA810" s="2174"/>
      <c r="AB810" s="2174"/>
      <c r="AC810" s="2174"/>
    </row>
    <row r="811" spans="1:29">
      <c r="A811" s="2174"/>
      <c r="B811" s="2174"/>
      <c r="C811" s="2174"/>
      <c r="D811" s="2174"/>
      <c r="E811" s="2174"/>
      <c r="F811" s="2174"/>
      <c r="G811" s="2174"/>
      <c r="H811" s="2174"/>
      <c r="I811" s="2174"/>
      <c r="J811" s="2174"/>
      <c r="K811" s="2175"/>
      <c r="L811" s="2176"/>
      <c r="M811" s="2174"/>
      <c r="N811" s="2174"/>
      <c r="O811" s="2174"/>
      <c r="P811" s="2215"/>
      <c r="Q811" s="2174"/>
      <c r="R811" s="2174"/>
      <c r="S811" s="2174"/>
      <c r="T811" s="2174"/>
      <c r="U811" s="2174"/>
      <c r="V811" s="2174"/>
      <c r="W811" s="2174"/>
      <c r="X811" s="2174"/>
      <c r="Y811" s="2174"/>
      <c r="Z811" s="2174"/>
      <c r="AA811" s="2174"/>
      <c r="AB811" s="2174"/>
      <c r="AC811" s="2174"/>
    </row>
    <row r="812" spans="1:29">
      <c r="A812" s="2174"/>
      <c r="B812" s="2174"/>
      <c r="C812" s="2174"/>
      <c r="D812" s="2174"/>
      <c r="E812" s="2174"/>
      <c r="F812" s="2174"/>
      <c r="G812" s="2174"/>
      <c r="H812" s="2174"/>
      <c r="I812" s="2174"/>
      <c r="J812" s="2174"/>
      <c r="K812" s="2175"/>
      <c r="L812" s="2176"/>
      <c r="M812" s="2174"/>
      <c r="N812" s="2174"/>
      <c r="O812" s="2174"/>
      <c r="P812" s="2215"/>
      <c r="Q812" s="2174"/>
      <c r="R812" s="2174"/>
      <c r="S812" s="2174"/>
      <c r="T812" s="2174"/>
      <c r="U812" s="2174"/>
      <c r="V812" s="2174"/>
      <c r="W812" s="2174"/>
      <c r="X812" s="2174"/>
      <c r="Y812" s="2174"/>
      <c r="Z812" s="2174"/>
      <c r="AA812" s="2174"/>
      <c r="AB812" s="2174"/>
      <c r="AC812" s="2174"/>
    </row>
    <row r="813" spans="1:29">
      <c r="A813" s="2174"/>
      <c r="B813" s="2174"/>
      <c r="C813" s="2174"/>
      <c r="D813" s="2174"/>
      <c r="E813" s="2174"/>
      <c r="F813" s="2174"/>
      <c r="G813" s="2174"/>
      <c r="H813" s="2174"/>
      <c r="I813" s="2174"/>
      <c r="J813" s="2174"/>
      <c r="K813" s="2175"/>
      <c r="L813" s="2176"/>
      <c r="M813" s="2174"/>
      <c r="N813" s="2174"/>
      <c r="O813" s="2174"/>
      <c r="P813" s="2215"/>
      <c r="Q813" s="2174"/>
      <c r="R813" s="2174"/>
      <c r="S813" s="2174"/>
      <c r="T813" s="2174"/>
      <c r="U813" s="2174"/>
      <c r="V813" s="2174"/>
      <c r="W813" s="2174"/>
      <c r="X813" s="2174"/>
      <c r="Y813" s="2174"/>
      <c r="Z813" s="2174"/>
      <c r="AA813" s="2174"/>
      <c r="AB813" s="2174"/>
      <c r="AC813" s="2174"/>
    </row>
    <row r="814" spans="1:29">
      <c r="A814" s="2174"/>
      <c r="B814" s="2174"/>
      <c r="C814" s="2174"/>
      <c r="D814" s="2174"/>
      <c r="E814" s="2174"/>
      <c r="F814" s="2174"/>
      <c r="G814" s="2174"/>
      <c r="H814" s="2174"/>
      <c r="I814" s="2174"/>
      <c r="J814" s="2174"/>
      <c r="K814" s="2175"/>
      <c r="L814" s="2176"/>
      <c r="M814" s="2174"/>
      <c r="N814" s="2174"/>
      <c r="O814" s="2174"/>
      <c r="P814" s="2215"/>
      <c r="Q814" s="2174"/>
      <c r="R814" s="2174"/>
      <c r="S814" s="2174"/>
      <c r="T814" s="2174"/>
      <c r="U814" s="2174"/>
      <c r="V814" s="2174"/>
      <c r="W814" s="2174"/>
      <c r="X814" s="2174"/>
      <c r="Y814" s="2174"/>
      <c r="Z814" s="2174"/>
      <c r="AA814" s="2174"/>
      <c r="AB814" s="2174"/>
      <c r="AC814" s="2174"/>
    </row>
    <row r="815" spans="1:29">
      <c r="A815" s="2174"/>
      <c r="B815" s="2174"/>
      <c r="C815" s="2174"/>
      <c r="D815" s="2174"/>
      <c r="E815" s="2174"/>
      <c r="F815" s="2174"/>
      <c r="G815" s="2174"/>
      <c r="H815" s="2174"/>
      <c r="I815" s="2174"/>
      <c r="J815" s="2174"/>
      <c r="K815" s="2175"/>
      <c r="L815" s="2176"/>
      <c r="M815" s="2174"/>
      <c r="N815" s="2174"/>
      <c r="O815" s="2174"/>
      <c r="P815" s="2215"/>
      <c r="Q815" s="2174"/>
      <c r="R815" s="2174"/>
      <c r="S815" s="2174"/>
      <c r="T815" s="2174"/>
      <c r="U815" s="2174"/>
      <c r="V815" s="2174"/>
      <c r="W815" s="2174"/>
      <c r="X815" s="2174"/>
      <c r="Y815" s="2174"/>
      <c r="Z815" s="2174"/>
      <c r="AA815" s="2174"/>
      <c r="AB815" s="2174"/>
      <c r="AC815" s="2174"/>
    </row>
    <row r="816" spans="1:29">
      <c r="A816" s="2174"/>
      <c r="B816" s="2174"/>
      <c r="C816" s="2174"/>
      <c r="D816" s="2174"/>
      <c r="E816" s="2174"/>
      <c r="F816" s="2174"/>
      <c r="G816" s="2174"/>
      <c r="H816" s="2174"/>
      <c r="I816" s="2174"/>
      <c r="J816" s="2174"/>
      <c r="K816" s="2175"/>
      <c r="L816" s="2176"/>
      <c r="M816" s="2174"/>
      <c r="N816" s="2174"/>
      <c r="O816" s="2174"/>
      <c r="P816" s="2215"/>
      <c r="Q816" s="2174"/>
      <c r="R816" s="2174"/>
      <c r="S816" s="2174"/>
      <c r="T816" s="2174"/>
      <c r="U816" s="2174"/>
      <c r="V816" s="2174"/>
      <c r="W816" s="2174"/>
      <c r="X816" s="2174"/>
      <c r="Y816" s="2174"/>
      <c r="Z816" s="2174"/>
      <c r="AA816" s="2174"/>
      <c r="AB816" s="2174"/>
      <c r="AC816" s="2174"/>
    </row>
    <row r="817" spans="1:29">
      <c r="A817" s="2174"/>
      <c r="B817" s="2174"/>
      <c r="C817" s="2174"/>
      <c r="D817" s="2174"/>
      <c r="E817" s="2174"/>
      <c r="F817" s="2174"/>
      <c r="G817" s="2174"/>
      <c r="H817" s="2174"/>
      <c r="I817" s="2174"/>
      <c r="J817" s="2174"/>
      <c r="K817" s="2175"/>
      <c r="L817" s="2176"/>
      <c r="M817" s="2174"/>
      <c r="N817" s="2174"/>
      <c r="O817" s="2174"/>
      <c r="P817" s="2215"/>
      <c r="Q817" s="2174"/>
      <c r="R817" s="2174"/>
      <c r="S817" s="2174"/>
      <c r="T817" s="2174"/>
      <c r="U817" s="2174"/>
      <c r="V817" s="2174"/>
      <c r="W817" s="2174"/>
      <c r="X817" s="2174"/>
      <c r="Y817" s="2174"/>
      <c r="Z817" s="2174"/>
      <c r="AA817" s="2174"/>
      <c r="AB817" s="2174"/>
      <c r="AC817" s="2174"/>
    </row>
    <row r="818" spans="1:29">
      <c r="A818" s="2174"/>
      <c r="B818" s="2174"/>
      <c r="C818" s="2174"/>
      <c r="D818" s="2174"/>
      <c r="E818" s="2174"/>
      <c r="F818" s="2174"/>
      <c r="G818" s="2174"/>
      <c r="H818" s="2174"/>
      <c r="I818" s="2174"/>
      <c r="J818" s="2174"/>
      <c r="K818" s="2175"/>
      <c r="L818" s="2176"/>
      <c r="M818" s="2174"/>
      <c r="N818" s="2174"/>
      <c r="O818" s="2174"/>
      <c r="P818" s="2215"/>
      <c r="Q818" s="2174"/>
      <c r="R818" s="2174"/>
      <c r="S818" s="2174"/>
      <c r="T818" s="2174"/>
      <c r="U818" s="2174"/>
      <c r="V818" s="2174"/>
      <c r="W818" s="2174"/>
      <c r="X818" s="2174"/>
      <c r="Y818" s="2174"/>
      <c r="Z818" s="2174"/>
      <c r="AA818" s="2174"/>
      <c r="AB818" s="2174"/>
      <c r="AC818" s="2174"/>
    </row>
    <row r="819" spans="1:29">
      <c r="A819" s="2174"/>
      <c r="B819" s="2174"/>
      <c r="C819" s="2174"/>
      <c r="D819" s="2174"/>
      <c r="E819" s="2174"/>
      <c r="F819" s="2174"/>
      <c r="G819" s="2174"/>
      <c r="H819" s="2174"/>
      <c r="I819" s="2174"/>
      <c r="J819" s="2174"/>
      <c r="K819" s="2175"/>
      <c r="L819" s="2176"/>
      <c r="M819" s="2174"/>
      <c r="N819" s="2174"/>
      <c r="O819" s="2174"/>
      <c r="P819" s="2215"/>
      <c r="Q819" s="2174"/>
      <c r="R819" s="2174"/>
      <c r="S819" s="2174"/>
      <c r="T819" s="2174"/>
      <c r="U819" s="2174"/>
      <c r="V819" s="2174"/>
      <c r="W819" s="2174"/>
      <c r="X819" s="2174"/>
      <c r="Y819" s="2174"/>
      <c r="Z819" s="2174"/>
      <c r="AA819" s="2174"/>
      <c r="AB819" s="2174"/>
      <c r="AC819" s="2174"/>
    </row>
    <row r="820" spans="1:29">
      <c r="A820" s="2174"/>
      <c r="B820" s="2174"/>
      <c r="C820" s="2174"/>
      <c r="D820" s="2174"/>
      <c r="E820" s="2174"/>
      <c r="F820" s="2174"/>
      <c r="G820" s="2174"/>
      <c r="H820" s="2174"/>
      <c r="I820" s="2174"/>
      <c r="J820" s="2174"/>
      <c r="K820" s="2175"/>
      <c r="L820" s="2176"/>
      <c r="M820" s="2174"/>
      <c r="N820" s="2174"/>
      <c r="O820" s="2174"/>
      <c r="P820" s="2215"/>
      <c r="Q820" s="2174"/>
      <c r="R820" s="2174"/>
      <c r="S820" s="2174"/>
      <c r="T820" s="2174"/>
      <c r="U820" s="2174"/>
      <c r="V820" s="2174"/>
      <c r="W820" s="2174"/>
      <c r="X820" s="2174"/>
      <c r="Y820" s="2174"/>
      <c r="Z820" s="2174"/>
      <c r="AA820" s="2174"/>
      <c r="AB820" s="2174"/>
      <c r="AC820" s="2174"/>
    </row>
    <row r="821" spans="1:29">
      <c r="A821" s="2174"/>
      <c r="B821" s="2174"/>
      <c r="C821" s="2174"/>
      <c r="D821" s="2174"/>
      <c r="E821" s="2174"/>
      <c r="F821" s="2174"/>
      <c r="G821" s="2174"/>
      <c r="H821" s="2174"/>
      <c r="I821" s="2174"/>
      <c r="J821" s="2174"/>
      <c r="K821" s="2175"/>
      <c r="L821" s="2176"/>
      <c r="M821" s="2174"/>
      <c r="N821" s="2174"/>
      <c r="O821" s="2174"/>
      <c r="P821" s="2215"/>
      <c r="Q821" s="2174"/>
      <c r="R821" s="2174"/>
      <c r="S821" s="2174"/>
      <c r="T821" s="2174"/>
      <c r="U821" s="2174"/>
      <c r="V821" s="2174"/>
      <c r="W821" s="2174"/>
      <c r="X821" s="2174"/>
      <c r="Y821" s="2174"/>
      <c r="Z821" s="2174"/>
      <c r="AA821" s="2174"/>
      <c r="AB821" s="2174"/>
      <c r="AC821" s="2174"/>
    </row>
    <row r="822" spans="1:29">
      <c r="A822" s="2174"/>
      <c r="B822" s="2174"/>
      <c r="C822" s="2174"/>
      <c r="D822" s="2174"/>
      <c r="E822" s="2174"/>
      <c r="F822" s="2174"/>
      <c r="G822" s="2174"/>
      <c r="H822" s="2174"/>
      <c r="I822" s="2174"/>
      <c r="J822" s="2174"/>
      <c r="K822" s="2175"/>
      <c r="L822" s="2176"/>
      <c r="M822" s="2174"/>
      <c r="N822" s="2174"/>
      <c r="O822" s="2174"/>
      <c r="P822" s="2215"/>
      <c r="Q822" s="2174"/>
      <c r="R822" s="2174"/>
      <c r="S822" s="2174"/>
      <c r="T822" s="2174"/>
      <c r="U822" s="2174"/>
      <c r="V822" s="2174"/>
      <c r="W822" s="2174"/>
      <c r="X822" s="2174"/>
      <c r="Y822" s="2174"/>
      <c r="Z822" s="2174"/>
      <c r="AA822" s="2174"/>
      <c r="AB822" s="2174"/>
      <c r="AC822" s="2174"/>
    </row>
    <row r="823" spans="1:29">
      <c r="A823" s="2174"/>
      <c r="B823" s="2174"/>
      <c r="C823" s="2174"/>
      <c r="D823" s="2174"/>
      <c r="E823" s="2174"/>
      <c r="F823" s="2174"/>
      <c r="G823" s="2174"/>
      <c r="H823" s="2174"/>
      <c r="I823" s="2174"/>
      <c r="J823" s="2174"/>
      <c r="K823" s="2175"/>
      <c r="L823" s="2176"/>
      <c r="M823" s="2174"/>
      <c r="N823" s="2174"/>
      <c r="O823" s="2174"/>
      <c r="P823" s="2215"/>
      <c r="Q823" s="2174"/>
      <c r="R823" s="2174"/>
      <c r="S823" s="2174"/>
      <c r="T823" s="2174"/>
      <c r="U823" s="2174"/>
      <c r="V823" s="2174"/>
      <c r="W823" s="2174"/>
      <c r="X823" s="2174"/>
      <c r="Y823" s="2174"/>
      <c r="Z823" s="2174"/>
      <c r="AA823" s="2174"/>
      <c r="AB823" s="2174"/>
      <c r="AC823" s="2174"/>
    </row>
    <row r="824" spans="1:29">
      <c r="A824" s="2174"/>
      <c r="B824" s="2174"/>
      <c r="C824" s="2174"/>
      <c r="D824" s="2174"/>
      <c r="E824" s="2174"/>
      <c r="F824" s="2174"/>
      <c r="G824" s="2174"/>
      <c r="H824" s="2174"/>
      <c r="I824" s="2174"/>
      <c r="J824" s="2174"/>
      <c r="K824" s="2175"/>
      <c r="L824" s="2176"/>
      <c r="M824" s="2174"/>
      <c r="N824" s="2174"/>
      <c r="O824" s="2174"/>
      <c r="P824" s="2215"/>
      <c r="Q824" s="2174"/>
      <c r="R824" s="2174"/>
      <c r="S824" s="2174"/>
      <c r="T824" s="2174"/>
      <c r="U824" s="2174"/>
      <c r="V824" s="2174"/>
      <c r="W824" s="2174"/>
      <c r="X824" s="2174"/>
      <c r="Y824" s="2174"/>
      <c r="Z824" s="2174"/>
      <c r="AA824" s="2174"/>
      <c r="AB824" s="2174"/>
      <c r="AC824" s="2174"/>
    </row>
    <row r="825" spans="1:29">
      <c r="A825" s="2174"/>
      <c r="B825" s="2174"/>
      <c r="C825" s="2174"/>
      <c r="D825" s="2174"/>
      <c r="E825" s="2174"/>
      <c r="F825" s="2174"/>
      <c r="G825" s="2174"/>
      <c r="H825" s="2174"/>
      <c r="I825" s="2174"/>
      <c r="J825" s="2174"/>
      <c r="K825" s="2175"/>
      <c r="L825" s="2176"/>
      <c r="M825" s="2174"/>
      <c r="N825" s="2174"/>
      <c r="O825" s="2174"/>
      <c r="P825" s="2215"/>
      <c r="Q825" s="2174"/>
      <c r="R825" s="2174"/>
      <c r="S825" s="2174"/>
      <c r="T825" s="2174"/>
      <c r="U825" s="2174"/>
      <c r="V825" s="2174"/>
      <c r="W825" s="2174"/>
      <c r="X825" s="2174"/>
      <c r="Y825" s="2174"/>
      <c r="Z825" s="2174"/>
      <c r="AA825" s="2174"/>
      <c r="AB825" s="2174"/>
      <c r="AC825" s="2174"/>
    </row>
    <row r="826" spans="1:29">
      <c r="A826" s="2174"/>
      <c r="B826" s="2174"/>
      <c r="C826" s="2174"/>
      <c r="D826" s="2174"/>
      <c r="E826" s="2174"/>
      <c r="F826" s="2174"/>
      <c r="G826" s="2174"/>
      <c r="H826" s="2174"/>
      <c r="I826" s="2174"/>
      <c r="J826" s="2174"/>
      <c r="K826" s="2175"/>
      <c r="L826" s="2176"/>
      <c r="M826" s="2174"/>
      <c r="N826" s="2174"/>
      <c r="O826" s="2174"/>
      <c r="P826" s="2215"/>
      <c r="Q826" s="2174"/>
      <c r="R826" s="2174"/>
      <c r="S826" s="2174"/>
      <c r="T826" s="2174"/>
      <c r="U826" s="2174"/>
      <c r="V826" s="2174"/>
      <c r="W826" s="2174"/>
      <c r="X826" s="2174"/>
      <c r="Y826" s="2174"/>
      <c r="Z826" s="2174"/>
      <c r="AA826" s="2174"/>
      <c r="AB826" s="2174"/>
      <c r="AC826" s="2174"/>
    </row>
    <row r="827" spans="1:29">
      <c r="A827" s="2174"/>
      <c r="B827" s="2174"/>
      <c r="C827" s="2174"/>
      <c r="D827" s="2174"/>
      <c r="E827" s="2174"/>
      <c r="F827" s="2174"/>
      <c r="G827" s="2174"/>
      <c r="H827" s="2174"/>
      <c r="I827" s="2174"/>
      <c r="J827" s="2174"/>
      <c r="K827" s="2175"/>
      <c r="L827" s="2176"/>
      <c r="M827" s="2174"/>
      <c r="N827" s="2174"/>
      <c r="O827" s="2174"/>
      <c r="P827" s="2215"/>
      <c r="Q827" s="2174"/>
      <c r="R827" s="2174"/>
      <c r="S827" s="2174"/>
      <c r="T827" s="2174"/>
      <c r="U827" s="2174"/>
      <c r="V827" s="2174"/>
      <c r="W827" s="2174"/>
      <c r="X827" s="2174"/>
      <c r="Y827" s="2174"/>
      <c r="Z827" s="2174"/>
      <c r="AA827" s="2174"/>
      <c r="AB827" s="2174"/>
      <c r="AC827" s="2174"/>
    </row>
    <row r="828" spans="1:29">
      <c r="A828" s="2174"/>
      <c r="B828" s="2174"/>
      <c r="C828" s="2174"/>
      <c r="D828" s="2174"/>
      <c r="E828" s="2174"/>
      <c r="F828" s="2174"/>
      <c r="G828" s="2174"/>
      <c r="H828" s="2174"/>
      <c r="I828" s="2174"/>
      <c r="J828" s="2174"/>
      <c r="K828" s="2175"/>
      <c r="L828" s="2176"/>
      <c r="M828" s="2174"/>
      <c r="N828" s="2174"/>
      <c r="O828" s="2174"/>
      <c r="P828" s="2215"/>
      <c r="Q828" s="2174"/>
      <c r="R828" s="2174"/>
      <c r="S828" s="2174"/>
      <c r="T828" s="2174"/>
      <c r="U828" s="2174"/>
      <c r="V828" s="2174"/>
      <c r="W828" s="2174"/>
      <c r="X828" s="2174"/>
      <c r="Y828" s="2174"/>
      <c r="Z828" s="2174"/>
      <c r="AA828" s="2174"/>
      <c r="AB828" s="2174"/>
      <c r="AC828" s="2174"/>
    </row>
    <row r="829" spans="1:29">
      <c r="A829" s="2174"/>
      <c r="B829" s="2174"/>
      <c r="C829" s="2174"/>
      <c r="D829" s="2174"/>
      <c r="E829" s="2174"/>
      <c r="F829" s="2174"/>
      <c r="G829" s="2174"/>
      <c r="H829" s="2174"/>
      <c r="I829" s="2174"/>
      <c r="J829" s="2174"/>
      <c r="K829" s="2175"/>
      <c r="L829" s="2176"/>
      <c r="M829" s="2174"/>
      <c r="N829" s="2174"/>
      <c r="O829" s="2174"/>
      <c r="P829" s="2215"/>
      <c r="Q829" s="2174"/>
      <c r="R829" s="2174"/>
      <c r="S829" s="2174"/>
      <c r="T829" s="2174"/>
      <c r="U829" s="2174"/>
      <c r="V829" s="2174"/>
      <c r="W829" s="2174"/>
      <c r="X829" s="2174"/>
      <c r="Y829" s="2174"/>
      <c r="Z829" s="2174"/>
      <c r="AA829" s="2174"/>
      <c r="AB829" s="2174"/>
      <c r="AC829" s="2174"/>
    </row>
    <row r="830" spans="1:29">
      <c r="A830" s="2174"/>
      <c r="B830" s="2174"/>
      <c r="C830" s="2174"/>
      <c r="D830" s="2174"/>
      <c r="E830" s="2174"/>
      <c r="F830" s="2174"/>
      <c r="G830" s="2174"/>
      <c r="H830" s="2174"/>
      <c r="I830" s="2174"/>
      <c r="J830" s="2174"/>
      <c r="K830" s="2175"/>
      <c r="L830" s="2176"/>
      <c r="M830" s="2174"/>
      <c r="N830" s="2174"/>
      <c r="O830" s="2174"/>
      <c r="P830" s="2215"/>
      <c r="Q830" s="2174"/>
      <c r="R830" s="2174"/>
      <c r="S830" s="2174"/>
      <c r="T830" s="2174"/>
      <c r="U830" s="2174"/>
      <c r="V830" s="2174"/>
      <c r="W830" s="2174"/>
      <c r="X830" s="2174"/>
      <c r="Y830" s="2174"/>
      <c r="Z830" s="2174"/>
      <c r="AA830" s="2174"/>
      <c r="AB830" s="2174"/>
      <c r="AC830" s="2174"/>
    </row>
    <row r="831" spans="1:29">
      <c r="A831" s="2174"/>
      <c r="B831" s="2174"/>
      <c r="C831" s="2174"/>
      <c r="D831" s="2174"/>
      <c r="E831" s="2174"/>
      <c r="F831" s="2174"/>
      <c r="G831" s="2174"/>
      <c r="H831" s="2174"/>
      <c r="I831" s="2174"/>
      <c r="J831" s="2174"/>
      <c r="K831" s="2175"/>
      <c r="L831" s="2176"/>
      <c r="M831" s="2174"/>
      <c r="N831" s="2174"/>
      <c r="O831" s="2174"/>
      <c r="P831" s="2215"/>
      <c r="Q831" s="2174"/>
      <c r="R831" s="2174"/>
      <c r="S831" s="2174"/>
      <c r="T831" s="2174"/>
      <c r="U831" s="2174"/>
      <c r="V831" s="2174"/>
      <c r="W831" s="2174"/>
      <c r="X831" s="2174"/>
      <c r="Y831" s="2174"/>
      <c r="Z831" s="2174"/>
      <c r="AA831" s="2174"/>
      <c r="AB831" s="2174"/>
      <c r="AC831" s="2174"/>
    </row>
    <row r="832" spans="1:29">
      <c r="A832" s="2174"/>
      <c r="B832" s="2174"/>
      <c r="C832" s="2174"/>
      <c r="D832" s="2174"/>
      <c r="E832" s="2174"/>
      <c r="F832" s="2174"/>
      <c r="G832" s="2174"/>
      <c r="H832" s="2174"/>
      <c r="I832" s="2174"/>
      <c r="J832" s="2174"/>
      <c r="K832" s="2175"/>
      <c r="L832" s="2176"/>
      <c r="M832" s="2174"/>
      <c r="N832" s="2174"/>
      <c r="O832" s="2174"/>
      <c r="P832" s="2215"/>
      <c r="Q832" s="2174"/>
      <c r="R832" s="2174"/>
      <c r="S832" s="2174"/>
      <c r="T832" s="2174"/>
      <c r="U832" s="2174"/>
      <c r="V832" s="2174"/>
      <c r="W832" s="2174"/>
      <c r="X832" s="2174"/>
      <c r="Y832" s="2174"/>
      <c r="Z832" s="2174"/>
      <c r="AA832" s="2174"/>
      <c r="AB832" s="2174"/>
      <c r="AC832" s="2174"/>
    </row>
    <row r="833" spans="1:29">
      <c r="A833" s="2174"/>
      <c r="B833" s="2174"/>
      <c r="C833" s="2174"/>
      <c r="D833" s="2174"/>
      <c r="E833" s="2174"/>
      <c r="F833" s="2174"/>
      <c r="G833" s="2174"/>
      <c r="H833" s="2174"/>
      <c r="I833" s="2174"/>
      <c r="J833" s="2174"/>
      <c r="K833" s="2175"/>
      <c r="L833" s="2176"/>
      <c r="M833" s="2174"/>
      <c r="N833" s="2174"/>
      <c r="O833" s="2174"/>
      <c r="P833" s="2215"/>
      <c r="Q833" s="2174"/>
      <c r="R833" s="2174"/>
      <c r="S833" s="2174"/>
      <c r="T833" s="2174"/>
      <c r="U833" s="2174"/>
      <c r="V833" s="2174"/>
      <c r="W833" s="2174"/>
      <c r="X833" s="2174"/>
      <c r="Y833" s="2174"/>
      <c r="Z833" s="2174"/>
      <c r="AA833" s="2174"/>
      <c r="AB833" s="2174"/>
      <c r="AC833" s="2174"/>
    </row>
    <row r="834" spans="1:29">
      <c r="A834" s="2174"/>
      <c r="B834" s="2174"/>
      <c r="C834" s="2174"/>
      <c r="D834" s="2174"/>
      <c r="E834" s="2174"/>
      <c r="F834" s="2174"/>
      <c r="G834" s="2174"/>
      <c r="H834" s="2174"/>
      <c r="I834" s="2174"/>
      <c r="J834" s="2174"/>
      <c r="K834" s="2175"/>
      <c r="L834" s="2176"/>
      <c r="M834" s="2174"/>
      <c r="N834" s="2174"/>
      <c r="O834" s="2174"/>
      <c r="P834" s="2215"/>
      <c r="Q834" s="2174"/>
      <c r="R834" s="2174"/>
      <c r="S834" s="2174"/>
      <c r="T834" s="2174"/>
      <c r="U834" s="2174"/>
      <c r="V834" s="2174"/>
      <c r="W834" s="2174"/>
      <c r="X834" s="2174"/>
      <c r="Y834" s="2174"/>
      <c r="Z834" s="2174"/>
      <c r="AA834" s="2174"/>
      <c r="AB834" s="2174"/>
      <c r="AC834" s="2174"/>
    </row>
    <row r="835" spans="1:29">
      <c r="A835" s="2174"/>
      <c r="B835" s="2174"/>
      <c r="C835" s="2174"/>
      <c r="D835" s="2174"/>
      <c r="E835" s="2174"/>
      <c r="F835" s="2174"/>
      <c r="G835" s="2174"/>
      <c r="H835" s="2174"/>
      <c r="I835" s="2174"/>
      <c r="J835" s="2174"/>
      <c r="K835" s="2175"/>
      <c r="L835" s="2176"/>
      <c r="M835" s="2174"/>
      <c r="N835" s="2174"/>
      <c r="O835" s="2174"/>
      <c r="P835" s="2215"/>
      <c r="Q835" s="2174"/>
      <c r="R835" s="2174"/>
      <c r="S835" s="2174"/>
      <c r="T835" s="2174"/>
      <c r="U835" s="2174"/>
      <c r="V835" s="2174"/>
      <c r="W835" s="2174"/>
      <c r="X835" s="2174"/>
      <c r="Y835" s="2174"/>
      <c r="Z835" s="2174"/>
      <c r="AA835" s="2174"/>
      <c r="AB835" s="2174"/>
      <c r="AC835" s="2174"/>
    </row>
    <row r="836" spans="1:29">
      <c r="A836" s="2174"/>
      <c r="B836" s="2174"/>
      <c r="C836" s="2174"/>
      <c r="D836" s="2174"/>
      <c r="E836" s="2174"/>
      <c r="F836" s="2174"/>
      <c r="G836" s="2174"/>
      <c r="H836" s="2174"/>
      <c r="I836" s="2174"/>
      <c r="J836" s="2174"/>
      <c r="K836" s="2175"/>
      <c r="L836" s="2176"/>
      <c r="M836" s="2174"/>
      <c r="N836" s="2174"/>
      <c r="O836" s="2174"/>
      <c r="P836" s="2215"/>
      <c r="Q836" s="2174"/>
      <c r="R836" s="2174"/>
      <c r="S836" s="2174"/>
      <c r="T836" s="2174"/>
      <c r="U836" s="2174"/>
      <c r="V836" s="2174"/>
      <c r="W836" s="2174"/>
      <c r="X836" s="2174"/>
      <c r="Y836" s="2174"/>
      <c r="Z836" s="2174"/>
      <c r="AA836" s="2174"/>
      <c r="AB836" s="2174"/>
      <c r="AC836" s="2174"/>
    </row>
    <row r="837" spans="1:29">
      <c r="A837" s="2174"/>
      <c r="B837" s="2174"/>
      <c r="C837" s="2174"/>
      <c r="D837" s="2174"/>
      <c r="E837" s="2174"/>
      <c r="F837" s="2174"/>
      <c r="G837" s="2174"/>
      <c r="H837" s="2174"/>
      <c r="I837" s="2174"/>
      <c r="J837" s="2174"/>
      <c r="K837" s="2175"/>
      <c r="L837" s="2176"/>
      <c r="M837" s="2174"/>
      <c r="N837" s="2174"/>
      <c r="O837" s="2174"/>
      <c r="P837" s="2215"/>
      <c r="Q837" s="2174"/>
      <c r="R837" s="2174"/>
      <c r="S837" s="2174"/>
      <c r="T837" s="2174"/>
      <c r="U837" s="2174"/>
      <c r="V837" s="2174"/>
      <c r="W837" s="2174"/>
      <c r="X837" s="2174"/>
      <c r="Y837" s="2174"/>
      <c r="Z837" s="2174"/>
      <c r="AA837" s="2174"/>
      <c r="AB837" s="2174"/>
      <c r="AC837" s="2174"/>
    </row>
    <row r="838" spans="1:29">
      <c r="A838" s="2174"/>
      <c r="B838" s="2174"/>
      <c r="C838" s="2174"/>
      <c r="D838" s="2174"/>
      <c r="E838" s="2174"/>
      <c r="F838" s="2174"/>
      <c r="G838" s="2174"/>
      <c r="H838" s="2174"/>
      <c r="I838" s="2174"/>
      <c r="J838" s="2174"/>
      <c r="K838" s="2175"/>
      <c r="L838" s="2176"/>
      <c r="M838" s="2174"/>
      <c r="N838" s="2174"/>
      <c r="O838" s="2174"/>
      <c r="P838" s="2215"/>
      <c r="Q838" s="2174"/>
      <c r="R838" s="2174"/>
      <c r="S838" s="2174"/>
      <c r="T838" s="2174"/>
      <c r="U838" s="2174"/>
      <c r="V838" s="2174"/>
      <c r="W838" s="2174"/>
      <c r="X838" s="2174"/>
      <c r="Y838" s="2174"/>
      <c r="Z838" s="2174"/>
      <c r="AA838" s="2174"/>
      <c r="AB838" s="2174"/>
      <c r="AC838" s="2174"/>
    </row>
    <row r="839" spans="1:29">
      <c r="A839" s="2174"/>
      <c r="B839" s="2174"/>
      <c r="C839" s="2174"/>
      <c r="D839" s="2174"/>
      <c r="E839" s="2174"/>
      <c r="F839" s="2174"/>
      <c r="G839" s="2174"/>
      <c r="H839" s="2174"/>
      <c r="I839" s="2174"/>
      <c r="J839" s="2174"/>
      <c r="K839" s="2175"/>
      <c r="L839" s="2176"/>
      <c r="M839" s="2174"/>
      <c r="N839" s="2174"/>
      <c r="O839" s="2174"/>
      <c r="P839" s="2215"/>
      <c r="Q839" s="2174"/>
      <c r="R839" s="2174"/>
      <c r="S839" s="2174"/>
      <c r="T839" s="2174"/>
      <c r="U839" s="2174"/>
      <c r="V839" s="2174"/>
      <c r="W839" s="2174"/>
      <c r="X839" s="2174"/>
      <c r="Y839" s="2174"/>
      <c r="Z839" s="2174"/>
      <c r="AA839" s="2174"/>
      <c r="AB839" s="2174"/>
      <c r="AC839" s="2174"/>
    </row>
    <row r="840" spans="1:29">
      <c r="A840" s="2174"/>
      <c r="B840" s="2174"/>
      <c r="C840" s="2174"/>
      <c r="D840" s="2174"/>
      <c r="E840" s="2174"/>
      <c r="F840" s="2174"/>
      <c r="G840" s="2174"/>
      <c r="H840" s="2174"/>
      <c r="I840" s="2174"/>
      <c r="J840" s="2174"/>
      <c r="K840" s="2175"/>
      <c r="L840" s="2176"/>
      <c r="M840" s="2174"/>
      <c r="N840" s="2174"/>
      <c r="O840" s="2174"/>
      <c r="P840" s="2215"/>
      <c r="Q840" s="2174"/>
      <c r="R840" s="2174"/>
      <c r="S840" s="2174"/>
      <c r="T840" s="2174"/>
      <c r="U840" s="2174"/>
      <c r="V840" s="2174"/>
      <c r="W840" s="2174"/>
      <c r="X840" s="2174"/>
      <c r="Y840" s="2174"/>
      <c r="Z840" s="2174"/>
      <c r="AA840" s="2174"/>
      <c r="AB840" s="2174"/>
      <c r="AC840" s="2174"/>
    </row>
    <row r="841" spans="1:29">
      <c r="A841" s="2174"/>
      <c r="B841" s="2174"/>
      <c r="C841" s="2174"/>
      <c r="D841" s="2174"/>
      <c r="E841" s="2174"/>
      <c r="F841" s="2174"/>
      <c r="G841" s="2174"/>
      <c r="H841" s="2174"/>
      <c r="I841" s="2174"/>
      <c r="J841" s="2174"/>
      <c r="K841" s="2175"/>
      <c r="L841" s="2176"/>
      <c r="M841" s="2174"/>
      <c r="N841" s="2174"/>
      <c r="O841" s="2174"/>
      <c r="P841" s="2215"/>
      <c r="Q841" s="2174"/>
      <c r="R841" s="2174"/>
      <c r="S841" s="2174"/>
      <c r="T841" s="2174"/>
      <c r="U841" s="2174"/>
      <c r="V841" s="2174"/>
      <c r="W841" s="2174"/>
      <c r="X841" s="2174"/>
      <c r="Y841" s="2174"/>
      <c r="Z841" s="2174"/>
      <c r="AA841" s="2174"/>
      <c r="AB841" s="2174"/>
      <c r="AC841" s="2174"/>
    </row>
    <row r="842" spans="1:29">
      <c r="A842" s="2174"/>
      <c r="B842" s="2174"/>
      <c r="C842" s="2174"/>
      <c r="D842" s="2174"/>
      <c r="E842" s="2174"/>
      <c r="F842" s="2174"/>
      <c r="G842" s="2174"/>
      <c r="H842" s="2174"/>
      <c r="I842" s="2174"/>
      <c r="J842" s="2174"/>
      <c r="K842" s="2175"/>
      <c r="L842" s="2176"/>
      <c r="M842" s="2174"/>
      <c r="N842" s="2174"/>
      <c r="O842" s="2174"/>
      <c r="P842" s="2215"/>
      <c r="Q842" s="2174"/>
      <c r="R842" s="2174"/>
      <c r="S842" s="2174"/>
      <c r="T842" s="2174"/>
      <c r="U842" s="2174"/>
      <c r="V842" s="2174"/>
      <c r="W842" s="2174"/>
      <c r="X842" s="2174"/>
      <c r="Y842" s="2174"/>
      <c r="Z842" s="2174"/>
      <c r="AA842" s="2174"/>
      <c r="AB842" s="2174"/>
      <c r="AC842" s="2174"/>
    </row>
    <row r="843" spans="1:29">
      <c r="A843" s="2174"/>
      <c r="B843" s="2174"/>
      <c r="C843" s="2174"/>
      <c r="D843" s="2174"/>
      <c r="E843" s="2174"/>
      <c r="F843" s="2174"/>
      <c r="G843" s="2174"/>
      <c r="H843" s="2174"/>
      <c r="I843" s="2174"/>
      <c r="J843" s="2174"/>
      <c r="K843" s="2175"/>
      <c r="L843" s="2176"/>
      <c r="M843" s="2174"/>
      <c r="N843" s="2174"/>
      <c r="O843" s="2174"/>
      <c r="P843" s="2215"/>
      <c r="Q843" s="2174"/>
      <c r="R843" s="2174"/>
      <c r="S843" s="2174"/>
      <c r="T843" s="2174"/>
      <c r="U843" s="2174"/>
      <c r="V843" s="2174"/>
      <c r="W843" s="2174"/>
      <c r="X843" s="2174"/>
      <c r="Y843" s="2174"/>
      <c r="Z843" s="2174"/>
      <c r="AA843" s="2174"/>
      <c r="AB843" s="2174"/>
      <c r="AC843" s="2174"/>
    </row>
    <row r="844" spans="1:29">
      <c r="A844" s="2174"/>
      <c r="B844" s="2174"/>
      <c r="C844" s="2174"/>
      <c r="D844" s="2174"/>
      <c r="E844" s="2174"/>
      <c r="F844" s="2174"/>
      <c r="G844" s="2174"/>
      <c r="H844" s="2174"/>
      <c r="I844" s="2174"/>
      <c r="J844" s="2174"/>
      <c r="K844" s="2175"/>
      <c r="L844" s="2176"/>
      <c r="M844" s="2174"/>
      <c r="N844" s="2174"/>
      <c r="O844" s="2174"/>
      <c r="P844" s="2215"/>
      <c r="Q844" s="2174"/>
      <c r="R844" s="2174"/>
      <c r="S844" s="2174"/>
      <c r="T844" s="2174"/>
      <c r="U844" s="2174"/>
      <c r="V844" s="2174"/>
      <c r="W844" s="2174"/>
      <c r="X844" s="2174"/>
      <c r="Y844" s="2174"/>
      <c r="Z844" s="2174"/>
      <c r="AA844" s="2174"/>
      <c r="AB844" s="2174"/>
      <c r="AC844" s="2174"/>
    </row>
    <row r="845" spans="1:29">
      <c r="A845" s="2174"/>
      <c r="B845" s="2174"/>
      <c r="C845" s="2174"/>
      <c r="D845" s="2174"/>
      <c r="E845" s="2174"/>
      <c r="F845" s="2174"/>
      <c r="G845" s="2174"/>
      <c r="H845" s="2174"/>
      <c r="I845" s="2174"/>
      <c r="J845" s="2174"/>
      <c r="K845" s="2175"/>
      <c r="L845" s="2176"/>
      <c r="M845" s="2174"/>
      <c r="N845" s="2174"/>
      <c r="O845" s="2174"/>
      <c r="P845" s="2215"/>
      <c r="Q845" s="2174"/>
      <c r="R845" s="2174"/>
      <c r="S845" s="2174"/>
      <c r="T845" s="2174"/>
      <c r="U845" s="2174"/>
      <c r="V845" s="2174"/>
      <c r="W845" s="2174"/>
      <c r="X845" s="2174"/>
      <c r="Y845" s="2174"/>
      <c r="Z845" s="2174"/>
      <c r="AA845" s="2174"/>
      <c r="AB845" s="2174"/>
      <c r="AC845" s="2174"/>
    </row>
    <row r="846" spans="1:29">
      <c r="A846" s="2174"/>
      <c r="B846" s="2174"/>
      <c r="C846" s="2174"/>
      <c r="D846" s="2174"/>
      <c r="E846" s="2174"/>
      <c r="F846" s="2174"/>
      <c r="G846" s="2174"/>
      <c r="H846" s="2174"/>
      <c r="I846" s="2174"/>
      <c r="J846" s="2174"/>
      <c r="K846" s="2175"/>
      <c r="L846" s="2176"/>
      <c r="M846" s="2174"/>
      <c r="N846" s="2174"/>
      <c r="O846" s="2174"/>
      <c r="P846" s="2215"/>
      <c r="Q846" s="2174"/>
      <c r="R846" s="2174"/>
      <c r="S846" s="2174"/>
      <c r="T846" s="2174"/>
      <c r="U846" s="2174"/>
      <c r="V846" s="2174"/>
      <c r="W846" s="2174"/>
      <c r="X846" s="2174"/>
      <c r="Y846" s="2174"/>
      <c r="Z846" s="2174"/>
      <c r="AA846" s="2174"/>
      <c r="AB846" s="2174"/>
      <c r="AC846" s="2174"/>
    </row>
    <row r="847" spans="1:29">
      <c r="A847" s="2174"/>
      <c r="B847" s="2174"/>
      <c r="C847" s="2174"/>
      <c r="D847" s="2174"/>
      <c r="E847" s="2174"/>
      <c r="F847" s="2174"/>
      <c r="G847" s="2174"/>
      <c r="H847" s="2174"/>
      <c r="I847" s="2174"/>
      <c r="J847" s="2174"/>
      <c r="K847" s="2175"/>
      <c r="L847" s="2176"/>
      <c r="M847" s="2174"/>
      <c r="N847" s="2174"/>
      <c r="O847" s="2174"/>
      <c r="P847" s="2215"/>
      <c r="Q847" s="2174"/>
      <c r="R847" s="2174"/>
      <c r="S847" s="2174"/>
      <c r="T847" s="2174"/>
      <c r="U847" s="2174"/>
      <c r="V847" s="2174"/>
      <c r="W847" s="2174"/>
      <c r="X847" s="2174"/>
      <c r="Y847" s="2174"/>
      <c r="Z847" s="2174"/>
      <c r="AA847" s="2174"/>
      <c r="AB847" s="2174"/>
      <c r="AC847" s="2174"/>
    </row>
    <row r="848" spans="1:29">
      <c r="A848" s="2174"/>
      <c r="B848" s="2174"/>
      <c r="C848" s="2174"/>
      <c r="D848" s="2174"/>
      <c r="E848" s="2174"/>
      <c r="F848" s="2174"/>
      <c r="G848" s="2174"/>
      <c r="H848" s="2174"/>
      <c r="I848" s="2174"/>
      <c r="J848" s="2174"/>
      <c r="K848" s="2175"/>
      <c r="L848" s="2176"/>
      <c r="M848" s="2174"/>
      <c r="N848" s="2174"/>
      <c r="O848" s="2174"/>
      <c r="P848" s="2215"/>
      <c r="Q848" s="2174"/>
      <c r="R848" s="2174"/>
      <c r="S848" s="2174"/>
      <c r="T848" s="2174"/>
      <c r="U848" s="2174"/>
      <c r="V848" s="2174"/>
      <c r="W848" s="2174"/>
      <c r="X848" s="2174"/>
      <c r="Y848" s="2174"/>
      <c r="Z848" s="2174"/>
      <c r="AA848" s="2174"/>
      <c r="AB848" s="2174"/>
      <c r="AC848" s="2174"/>
    </row>
    <row r="849" spans="1:29">
      <c r="A849" s="2174"/>
      <c r="B849" s="2174"/>
      <c r="C849" s="2174"/>
      <c r="D849" s="2174"/>
      <c r="E849" s="2174"/>
      <c r="F849" s="2174"/>
      <c r="G849" s="2174"/>
      <c r="H849" s="2174"/>
      <c r="I849" s="2174"/>
      <c r="J849" s="2174"/>
      <c r="K849" s="2175"/>
      <c r="L849" s="2176"/>
      <c r="M849" s="2174"/>
      <c r="N849" s="2174"/>
      <c r="O849" s="2174"/>
      <c r="P849" s="2215"/>
      <c r="Q849" s="2174"/>
      <c r="R849" s="2174"/>
      <c r="S849" s="2174"/>
      <c r="T849" s="2174"/>
      <c r="U849" s="2174"/>
      <c r="V849" s="2174"/>
      <c r="W849" s="2174"/>
      <c r="X849" s="2174"/>
      <c r="Y849" s="2174"/>
      <c r="Z849" s="2174"/>
      <c r="AA849" s="2174"/>
      <c r="AB849" s="2174"/>
      <c r="AC849" s="2174"/>
    </row>
    <row r="850" spans="1:29">
      <c r="A850" s="2174"/>
      <c r="B850" s="2174"/>
      <c r="C850" s="2174"/>
      <c r="D850" s="2174"/>
      <c r="E850" s="2174"/>
      <c r="F850" s="2174"/>
      <c r="G850" s="2174"/>
      <c r="H850" s="2174"/>
      <c r="I850" s="2174"/>
      <c r="J850" s="2174"/>
      <c r="K850" s="2175"/>
      <c r="L850" s="2176"/>
      <c r="M850" s="2174"/>
      <c r="N850" s="2174"/>
      <c r="O850" s="2174"/>
      <c r="P850" s="2215"/>
      <c r="Q850" s="2174"/>
      <c r="R850" s="2174"/>
      <c r="S850" s="2174"/>
      <c r="T850" s="2174"/>
      <c r="U850" s="2174"/>
      <c r="V850" s="2174"/>
      <c r="W850" s="2174"/>
      <c r="X850" s="2174"/>
      <c r="Y850" s="2174"/>
      <c r="Z850" s="2174"/>
      <c r="AA850" s="2174"/>
      <c r="AB850" s="2174"/>
      <c r="AC850" s="2174"/>
    </row>
    <row r="851" spans="1:29">
      <c r="A851" s="2174"/>
      <c r="B851" s="2174"/>
      <c r="C851" s="2174"/>
      <c r="D851" s="2174"/>
      <c r="E851" s="2174"/>
      <c r="F851" s="2174"/>
      <c r="G851" s="2174"/>
      <c r="H851" s="2174"/>
      <c r="I851" s="2174"/>
      <c r="J851" s="2174"/>
      <c r="K851" s="2175"/>
      <c r="L851" s="2176"/>
      <c r="M851" s="2174"/>
      <c r="N851" s="2174"/>
      <c r="O851" s="2174"/>
      <c r="P851" s="2215"/>
      <c r="Q851" s="2174"/>
      <c r="R851" s="2174"/>
      <c r="S851" s="2174"/>
      <c r="T851" s="2174"/>
      <c r="U851" s="2174"/>
      <c r="V851" s="2174"/>
      <c r="W851" s="2174"/>
      <c r="X851" s="2174"/>
      <c r="Y851" s="2174"/>
      <c r="Z851" s="2174"/>
      <c r="AA851" s="2174"/>
      <c r="AB851" s="2174"/>
      <c r="AC851" s="2174"/>
    </row>
    <row r="852" spans="1:29">
      <c r="A852" s="2174"/>
      <c r="B852" s="2174"/>
      <c r="C852" s="2174"/>
      <c r="D852" s="2174"/>
      <c r="E852" s="2174"/>
      <c r="F852" s="2174"/>
      <c r="G852" s="2174"/>
      <c r="H852" s="2174"/>
      <c r="I852" s="2174"/>
      <c r="J852" s="2174"/>
      <c r="K852" s="2175"/>
      <c r="L852" s="2176"/>
      <c r="M852" s="2174"/>
      <c r="N852" s="2174"/>
      <c r="O852" s="2174"/>
      <c r="P852" s="2215"/>
      <c r="Q852" s="2174"/>
      <c r="R852" s="2174"/>
      <c r="S852" s="2174"/>
      <c r="T852" s="2174"/>
      <c r="U852" s="2174"/>
      <c r="V852" s="2174"/>
      <c r="W852" s="2174"/>
      <c r="X852" s="2174"/>
      <c r="Y852" s="2174"/>
      <c r="Z852" s="2174"/>
      <c r="AA852" s="2174"/>
      <c r="AB852" s="2174"/>
      <c r="AC852" s="2174"/>
    </row>
    <row r="853" spans="1:29">
      <c r="A853" s="2174"/>
      <c r="B853" s="2174"/>
      <c r="C853" s="2174"/>
      <c r="D853" s="2174"/>
      <c r="E853" s="2174"/>
      <c r="F853" s="2174"/>
      <c r="G853" s="2174"/>
      <c r="H853" s="2174"/>
      <c r="I853" s="2174"/>
      <c r="J853" s="2174"/>
      <c r="K853" s="2175"/>
      <c r="L853" s="2176"/>
      <c r="M853" s="2174"/>
      <c r="N853" s="2174"/>
      <c r="O853" s="2174"/>
      <c r="P853" s="2215"/>
      <c r="Q853" s="2174"/>
      <c r="R853" s="2174"/>
      <c r="S853" s="2174"/>
      <c r="T853" s="2174"/>
      <c r="U853" s="2174"/>
      <c r="V853" s="2174"/>
      <c r="W853" s="2174"/>
      <c r="X853" s="2174"/>
      <c r="Y853" s="2174"/>
      <c r="Z853" s="2174"/>
      <c r="AA853" s="2174"/>
      <c r="AB853" s="2174"/>
      <c r="AC853" s="217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0" t="s">
        <v>712</v>
      </c>
      <c r="B1" s="501" t="s">
        <v>781</v>
      </c>
      <c r="C1" s="502" t="s">
        <v>714</v>
      </c>
      <c r="D1" s="845"/>
      <c r="E1" s="504"/>
      <c r="F1" s="2828"/>
      <c r="G1" s="1596" t="s">
        <v>715</v>
      </c>
      <c r="H1" s="504"/>
      <c r="I1" s="504"/>
      <c r="J1" s="504"/>
      <c r="K1" s="505"/>
      <c r="L1" s="1557"/>
      <c r="M1" s="1558"/>
      <c r="N1" s="1558"/>
      <c r="O1" s="1558"/>
      <c r="P1" s="1559"/>
      <c r="Q1" s="1559"/>
      <c r="R1" s="1559"/>
      <c r="S1" s="1559"/>
      <c r="T1" s="1559"/>
      <c r="U1" s="1559"/>
      <c r="V1" s="1559"/>
      <c r="W1" s="1559"/>
      <c r="X1" s="1559"/>
      <c r="Y1" s="1559"/>
      <c r="Z1" s="1559"/>
      <c r="AA1" s="1559"/>
      <c r="AB1" s="1559"/>
      <c r="AC1" s="426"/>
    </row>
    <row r="2" spans="1:29" s="1331" customFormat="1" ht="28.5" customHeight="1">
      <c r="A2" s="421" t="s">
        <v>460</v>
      </c>
      <c r="B2" s="846" t="e">
        <f>ROUND(B3*D3/10000,0)</f>
        <v>#DIV/0!</v>
      </c>
      <c r="C2" s="2122"/>
      <c r="D2" s="2122"/>
      <c r="E2" s="2123"/>
      <c r="F2" s="2124"/>
      <c r="G2" s="2123"/>
      <c r="H2" s="2123"/>
      <c r="I2" s="2123"/>
      <c r="J2" s="2123"/>
      <c r="K2" s="2123"/>
      <c r="L2" s="2126"/>
      <c r="M2" s="2127"/>
      <c r="N2" s="2127"/>
      <c r="O2" s="2127"/>
      <c r="P2" s="1559"/>
      <c r="Q2" s="1559"/>
      <c r="R2" s="1559"/>
      <c r="S2" s="1559"/>
      <c r="T2" s="1559"/>
      <c r="U2" s="1559"/>
      <c r="V2" s="1559"/>
      <c r="W2" s="1559"/>
      <c r="X2" s="1559"/>
      <c r="Y2" s="1559"/>
      <c r="Z2" s="1559"/>
      <c r="AA2" s="1559"/>
      <c r="AB2" s="1559"/>
      <c r="AC2" s="426"/>
    </row>
    <row r="3" spans="1:29" s="1331" customFormat="1" ht="28.5" customHeight="1" thickBot="1">
      <c r="A3" s="507" t="s">
        <v>513</v>
      </c>
      <c r="B3" s="508" t="e">
        <f>C43</f>
        <v>#DIV/0!</v>
      </c>
      <c r="C3" s="848" t="s">
        <v>716</v>
      </c>
      <c r="D3" s="847">
        <f>SUMIF('数据-汇总表'!$C19:$C33,D1,'数据-汇总表'!$E19:$E33)</f>
        <v>0</v>
      </c>
      <c r="E3" s="2123"/>
      <c r="F3" s="2124"/>
      <c r="G3" s="2123"/>
      <c r="H3" s="2123"/>
      <c r="I3" s="2123"/>
      <c r="J3" s="2123"/>
      <c r="K3" s="2125"/>
      <c r="L3" s="2126"/>
      <c r="M3" s="2127"/>
      <c r="N3" s="2127"/>
      <c r="O3" s="2127"/>
      <c r="P3" s="1559"/>
      <c r="Q3" s="1559"/>
      <c r="R3" s="1559"/>
      <c r="S3" s="1559"/>
      <c r="T3" s="1559"/>
      <c r="U3" s="1559"/>
      <c r="V3" s="1559"/>
      <c r="W3" s="1559"/>
      <c r="X3" s="1559"/>
      <c r="Y3" s="1559"/>
      <c r="Z3" s="1559"/>
      <c r="AA3" s="1559"/>
      <c r="AB3" s="1561"/>
      <c r="AC3" s="426"/>
    </row>
    <row r="4" spans="1:29" ht="15">
      <c r="A4" s="510" t="s">
        <v>515</v>
      </c>
      <c r="B4" s="511"/>
      <c r="C4" s="3469" t="s">
        <v>516</v>
      </c>
      <c r="D4" s="3470"/>
      <c r="E4" s="3493" t="s">
        <v>517</v>
      </c>
      <c r="F4" s="3494"/>
      <c r="G4" s="3469" t="s">
        <v>518</v>
      </c>
      <c r="H4" s="3470"/>
      <c r="I4" s="3469" t="s">
        <v>519</v>
      </c>
      <c r="J4" s="3470"/>
      <c r="K4" s="512" t="s">
        <v>520</v>
      </c>
      <c r="L4" s="2128"/>
      <c r="M4" s="2129"/>
      <c r="N4" s="2129"/>
      <c r="O4" s="2129"/>
      <c r="P4" s="3471" t="s">
        <v>521</v>
      </c>
      <c r="Q4" s="3472"/>
      <c r="R4" s="3457" t="s">
        <v>517</v>
      </c>
      <c r="S4" s="3458"/>
      <c r="T4" s="3457" t="s">
        <v>518</v>
      </c>
      <c r="U4" s="3458"/>
      <c r="V4" s="3477" t="s">
        <v>519</v>
      </c>
      <c r="W4" s="3477"/>
      <c r="X4" s="1562"/>
      <c r="Y4" s="3457" t="s">
        <v>521</v>
      </c>
      <c r="Z4" s="3458"/>
      <c r="AA4" s="3452" t="s">
        <v>517</v>
      </c>
      <c r="AB4" s="3453" t="s">
        <v>518</v>
      </c>
      <c r="AC4" s="3452" t="s">
        <v>519</v>
      </c>
    </row>
    <row r="5" spans="1:29" ht="15">
      <c r="A5" s="513"/>
      <c r="B5" s="514"/>
      <c r="C5" s="3480" t="s">
        <v>2923</v>
      </c>
      <c r="D5" s="3481"/>
      <c r="E5" s="3495" t="s">
        <v>2924</v>
      </c>
      <c r="F5" s="3496"/>
      <c r="G5" s="3480" t="s">
        <v>2925</v>
      </c>
      <c r="H5" s="3481"/>
      <c r="I5" s="3480" t="s">
        <v>2926</v>
      </c>
      <c r="J5" s="3481"/>
      <c r="K5" s="512"/>
      <c r="L5" s="2128"/>
      <c r="M5" s="2129"/>
      <c r="N5" s="2129"/>
      <c r="O5" s="2129"/>
      <c r="P5" s="3473"/>
      <c r="Q5" s="3474"/>
      <c r="R5" s="3459"/>
      <c r="S5" s="3460"/>
      <c r="T5" s="3459"/>
      <c r="U5" s="3460"/>
      <c r="V5" s="3477"/>
      <c r="W5" s="3477"/>
      <c r="X5" s="1562"/>
      <c r="Y5" s="3459"/>
      <c r="Z5" s="3460"/>
      <c r="AA5" s="3453"/>
      <c r="AB5" s="3453"/>
      <c r="AC5" s="3453"/>
    </row>
    <row r="6" spans="1:29" ht="15.75" thickBot="1">
      <c r="A6" s="515"/>
      <c r="B6" s="516"/>
      <c r="C6" s="3478" t="s">
        <v>2927</v>
      </c>
      <c r="D6" s="3479"/>
      <c r="E6" s="3497" t="s">
        <v>2927</v>
      </c>
      <c r="F6" s="3498"/>
      <c r="G6" s="3478" t="s">
        <v>2927</v>
      </c>
      <c r="H6" s="3479"/>
      <c r="I6" s="3478" t="s">
        <v>2927</v>
      </c>
      <c r="J6" s="3479"/>
      <c r="K6" s="512" t="s">
        <v>522</v>
      </c>
      <c r="L6" s="2128"/>
      <c r="M6" s="2129"/>
      <c r="N6" s="2129"/>
      <c r="O6" s="2129"/>
      <c r="P6" s="3475"/>
      <c r="Q6" s="3476"/>
      <c r="R6" s="3459"/>
      <c r="S6" s="3460"/>
      <c r="T6" s="3461"/>
      <c r="U6" s="3462"/>
      <c r="V6" s="3477"/>
      <c r="W6" s="3477"/>
      <c r="X6" s="1562"/>
      <c r="Y6" s="3461"/>
      <c r="Z6" s="3462"/>
      <c r="AA6" s="3454"/>
      <c r="AB6" s="3454"/>
      <c r="AC6" s="3454"/>
    </row>
    <row r="7" spans="1:29" s="1215" customFormat="1" ht="15.75" thickBot="1">
      <c r="A7" s="2933"/>
      <c r="B7" s="2940" t="s">
        <v>523</v>
      </c>
      <c r="C7" s="517">
        <f>'数据-取费表'!B2</f>
        <v>43035</v>
      </c>
      <c r="D7" s="518">
        <v>100</v>
      </c>
      <c r="E7" s="519"/>
      <c r="F7" s="520">
        <f>SUMIF(52:52,YEAR(E7)&amp;"-"&amp;MONTH(E7),53:53)</f>
        <v>0</v>
      </c>
      <c r="G7" s="519"/>
      <c r="H7" s="518">
        <f>SUMIF(52:52,YEAR(G7)&amp;"-"&amp;MONTH(G7),53:53)</f>
        <v>0</v>
      </c>
      <c r="I7" s="519"/>
      <c r="J7" s="518">
        <f>SUMIF(52:52,YEAR(I7)&amp;"-"&amp;MONTH(I7),53:53)</f>
        <v>0</v>
      </c>
      <c r="K7" s="522"/>
      <c r="L7" s="2130"/>
      <c r="M7" s="2131"/>
      <c r="N7" s="2131"/>
      <c r="O7" s="2131"/>
      <c r="P7" s="3455" t="s">
        <v>524</v>
      </c>
      <c r="Q7" s="3464"/>
      <c r="R7" s="1563" t="s">
        <v>8</v>
      </c>
      <c r="S7" s="1564">
        <f t="shared" ref="S7:S15" si="0">F7</f>
        <v>0</v>
      </c>
      <c r="T7" s="1563" t="s">
        <v>8</v>
      </c>
      <c r="U7" s="1564">
        <f t="shared" ref="U7:U15" si="1">H7</f>
        <v>0</v>
      </c>
      <c r="V7" s="1563" t="s">
        <v>8</v>
      </c>
      <c r="W7" s="1564">
        <f t="shared" ref="W7:W15" si="2">J7</f>
        <v>0</v>
      </c>
      <c r="X7" s="1565"/>
      <c r="Y7" s="3455" t="s">
        <v>524</v>
      </c>
      <c r="Z7" s="3456"/>
      <c r="AA7" s="1566" t="e">
        <f>D7/F7</f>
        <v>#DIV/0!</v>
      </c>
      <c r="AB7" s="1566" t="e">
        <f>D7/H7</f>
        <v>#DIV/0!</v>
      </c>
      <c r="AC7" s="1566" t="e">
        <f>D7/J7</f>
        <v>#DIV/0!</v>
      </c>
    </row>
    <row r="8" spans="1:29" s="1215" customFormat="1" ht="15.75" thickBot="1">
      <c r="A8" s="2934"/>
      <c r="B8" s="2941" t="s">
        <v>525</v>
      </c>
      <c r="C8" s="523" t="s">
        <v>570</v>
      </c>
      <c r="D8" s="518">
        <v>100</v>
      </c>
      <c r="E8" s="523"/>
      <c r="F8" s="520">
        <f>SUMIF(55:55,E8,56:56)-SUMIF(55:55,C8,56:56)+100</f>
        <v>0</v>
      </c>
      <c r="G8" s="523"/>
      <c r="H8" s="518">
        <f>SUMIF(55:55,G8,56:56)-SUMIF(55:55,C8,56:56)+100</f>
        <v>0</v>
      </c>
      <c r="I8" s="523"/>
      <c r="J8" s="518">
        <f>SUMIF(55:55,I8,56:56)-SUMIF(55:55,C8,56:56)+100</f>
        <v>0</v>
      </c>
      <c r="K8" s="522"/>
      <c r="L8" s="2130"/>
      <c r="M8" s="2131"/>
      <c r="N8" s="2131"/>
      <c r="O8" s="2131"/>
      <c r="P8" s="3455" t="s">
        <v>527</v>
      </c>
      <c r="Q8" s="3456"/>
      <c r="R8" s="1563" t="s">
        <v>8</v>
      </c>
      <c r="S8" s="1564">
        <f t="shared" si="0"/>
        <v>0</v>
      </c>
      <c r="T8" s="1563" t="s">
        <v>8</v>
      </c>
      <c r="U8" s="1564">
        <f t="shared" si="1"/>
        <v>0</v>
      </c>
      <c r="V8" s="1563" t="s">
        <v>8</v>
      </c>
      <c r="W8" s="1564">
        <f t="shared" si="2"/>
        <v>0</v>
      </c>
      <c r="X8" s="1565"/>
      <c r="Y8" s="3455" t="s">
        <v>527</v>
      </c>
      <c r="Z8" s="3456"/>
      <c r="AA8" s="1566" t="e">
        <f t="shared" ref="AA8:AA40" si="3">D8/F8</f>
        <v>#DIV/0!</v>
      </c>
      <c r="AB8" s="1566" t="e">
        <f t="shared" ref="AB8:AB40" si="4">D8/H8</f>
        <v>#DIV/0!</v>
      </c>
      <c r="AC8" s="1566" t="e">
        <f t="shared" ref="AC8:AC40" si="5">D8/J8</f>
        <v>#DIV/0!</v>
      </c>
    </row>
    <row r="9" spans="1:29" s="1215" customFormat="1" ht="15">
      <c r="A9" s="2935"/>
      <c r="B9" s="2942" t="s">
        <v>2755</v>
      </c>
      <c r="C9" s="853"/>
      <c r="D9" s="249">
        <v>100</v>
      </c>
      <c r="E9" s="856"/>
      <c r="F9" s="249">
        <f>SUMIF(57:57,E9,58:58)-SUMIF(57:57,C9,58:58)+100</f>
        <v>100</v>
      </c>
      <c r="G9" s="854"/>
      <c r="H9" s="249">
        <f>SUMIF(57:57,G9,58:58)-SUMIF(57:57,C9,58:58)+100</f>
        <v>100</v>
      </c>
      <c r="I9" s="854"/>
      <c r="J9" s="249">
        <f>SUMIF(57:57,I9,58:58)-SUMIF(57:57,C9,58:58)+100</f>
        <v>100</v>
      </c>
      <c r="K9" s="522"/>
      <c r="L9" s="2130"/>
      <c r="M9" s="2131"/>
      <c r="N9" s="2131"/>
      <c r="O9" s="2132"/>
      <c r="P9" s="3463" t="s">
        <v>529</v>
      </c>
      <c r="Q9" s="1146" t="str">
        <f t="shared" ref="Q9:Q15" si="6">B9</f>
        <v>用途</v>
      </c>
      <c r="R9" s="1563" t="s">
        <v>8</v>
      </c>
      <c r="S9" s="1564">
        <f t="shared" si="0"/>
        <v>100</v>
      </c>
      <c r="T9" s="1563" t="s">
        <v>8</v>
      </c>
      <c r="U9" s="1564">
        <f t="shared" si="1"/>
        <v>100</v>
      </c>
      <c r="V9" s="1563" t="s">
        <v>8</v>
      </c>
      <c r="W9" s="1564">
        <f t="shared" si="2"/>
        <v>100</v>
      </c>
      <c r="X9" s="1565"/>
      <c r="Y9" s="3420" t="s">
        <v>530</v>
      </c>
      <c r="Z9" s="1145" t="str">
        <f t="shared" ref="Z9:Z15" si="7">Q9</f>
        <v>用途</v>
      </c>
      <c r="AA9" s="1566">
        <f t="shared" si="3"/>
        <v>1</v>
      </c>
      <c r="AB9" s="1566">
        <f t="shared" si="4"/>
        <v>1</v>
      </c>
      <c r="AC9" s="1566">
        <f t="shared" si="5"/>
        <v>1</v>
      </c>
    </row>
    <row r="10" spans="1:29" s="1333" customFormat="1" ht="27">
      <c r="A10" s="2936"/>
      <c r="B10" s="2941" t="s">
        <v>2756</v>
      </c>
      <c r="C10" s="857"/>
      <c r="D10" s="250">
        <v>100</v>
      </c>
      <c r="E10" s="857"/>
      <c r="F10" s="250">
        <f>SUMIF(59:59,E10,60:60)-SUMIF(59:59,C10,60:60)+100</f>
        <v>100</v>
      </c>
      <c r="G10" s="858"/>
      <c r="H10" s="250">
        <f>SUMIF(59:59,G10,60:60)-SUMIF(59:59,C10,60:60)+100</f>
        <v>100</v>
      </c>
      <c r="I10" s="857"/>
      <c r="J10" s="250">
        <f>SUMIF(59:59,I10,60:60)-SUMIF(59:59,C10,60:60)+100</f>
        <v>100</v>
      </c>
      <c r="K10" s="580"/>
      <c r="L10" s="2133"/>
      <c r="M10" s="2173"/>
      <c r="N10" s="2173"/>
      <c r="O10" s="2134"/>
      <c r="P10" s="3463"/>
      <c r="Q10" s="1146" t="str">
        <f t="shared" si="6"/>
        <v>土地使用年限（年）</v>
      </c>
      <c r="R10" s="1563" t="s">
        <v>8</v>
      </c>
      <c r="S10" s="1564">
        <f t="shared" si="0"/>
        <v>100</v>
      </c>
      <c r="T10" s="1563" t="s">
        <v>8</v>
      </c>
      <c r="U10" s="1564">
        <f t="shared" si="1"/>
        <v>100</v>
      </c>
      <c r="V10" s="1563" t="s">
        <v>8</v>
      </c>
      <c r="W10" s="1564">
        <f t="shared" si="2"/>
        <v>100</v>
      </c>
      <c r="X10" s="1565"/>
      <c r="Y10" s="3420"/>
      <c r="Z10" s="1145" t="str">
        <f t="shared" si="7"/>
        <v>土地使用年限（年）</v>
      </c>
      <c r="AA10" s="1566">
        <f t="shared" si="3"/>
        <v>1</v>
      </c>
      <c r="AB10" s="1566">
        <f t="shared" si="4"/>
        <v>1</v>
      </c>
      <c r="AC10" s="1566">
        <f t="shared" si="5"/>
        <v>1</v>
      </c>
    </row>
    <row r="11" spans="1:29" ht="15">
      <c r="A11" s="2937"/>
      <c r="B11" s="2941" t="s">
        <v>2757</v>
      </c>
      <c r="C11" s="529"/>
      <c r="D11" s="250">
        <v>100</v>
      </c>
      <c r="E11" s="529"/>
      <c r="F11" s="250" t="e">
        <f>LOOKUP(E11,62:62,63:63)-LOOKUP(C11,62:62,63:63)+100</f>
        <v>#N/A</v>
      </c>
      <c r="G11" s="530"/>
      <c r="H11" s="250" t="e">
        <f>LOOKUP(G11,62:62,63:63)-LOOKUP(C11,62:62,63:63)+100</f>
        <v>#N/A</v>
      </c>
      <c r="I11" s="529"/>
      <c r="J11" s="250" t="e">
        <f>LOOKUP(I11,62:62,63:63)-LOOKUP(C11,62:62,63:63)+100</f>
        <v>#N/A</v>
      </c>
      <c r="K11" s="580"/>
      <c r="L11" s="2135"/>
      <c r="M11" s="2129"/>
      <c r="N11" s="2129"/>
      <c r="O11" s="2136"/>
      <c r="P11" s="3463"/>
      <c r="Q11" s="1146" t="str">
        <f t="shared" si="6"/>
        <v>容积率</v>
      </c>
      <c r="R11" s="1563" t="s">
        <v>8</v>
      </c>
      <c r="S11" s="1564" t="e">
        <f t="shared" si="0"/>
        <v>#N/A</v>
      </c>
      <c r="T11" s="1563" t="s">
        <v>8</v>
      </c>
      <c r="U11" s="1564" t="e">
        <f t="shared" si="1"/>
        <v>#N/A</v>
      </c>
      <c r="V11" s="1563" t="s">
        <v>8</v>
      </c>
      <c r="W11" s="1564" t="e">
        <f t="shared" si="2"/>
        <v>#N/A</v>
      </c>
      <c r="X11" s="1565"/>
      <c r="Y11" s="3420"/>
      <c r="Z11" s="1145" t="str">
        <f t="shared" si="7"/>
        <v>容积率</v>
      </c>
      <c r="AA11" s="1566" t="e">
        <f t="shared" si="3"/>
        <v>#N/A</v>
      </c>
      <c r="AB11" s="1566" t="e">
        <f t="shared" si="4"/>
        <v>#N/A</v>
      </c>
      <c r="AC11" s="1566" t="e">
        <f t="shared" si="5"/>
        <v>#N/A</v>
      </c>
    </row>
    <row r="12" spans="1:29" s="1215" customFormat="1" ht="15">
      <c r="A12" s="2938"/>
      <c r="B12" s="2944">
        <v>111</v>
      </c>
      <c r="C12" s="526"/>
      <c r="D12" s="534">
        <v>100</v>
      </c>
      <c r="E12" s="535"/>
      <c r="F12" s="250">
        <f>SUMIF(64:64,E12,65:65)-SUMIF(64:64,C12,65:65)+100</f>
        <v>100</v>
      </c>
      <c r="G12" s="915"/>
      <c r="H12" s="250">
        <f>SUMIF(64:64,G12,65:65)-SUMIF(64:64,C12,65:65)+100</f>
        <v>100</v>
      </c>
      <c r="I12" s="875"/>
      <c r="J12" s="250">
        <f>SUMIF(64:64,I12,65:65)-SUMIF(64:64,C12,65:65)+100</f>
        <v>100</v>
      </c>
      <c r="K12" s="577"/>
      <c r="L12" s="2130"/>
      <c r="M12" s="2131"/>
      <c r="N12" s="2131"/>
      <c r="O12" s="2132"/>
      <c r="P12" s="3463"/>
      <c r="Q12" s="1146">
        <f t="shared" si="6"/>
        <v>111</v>
      </c>
      <c r="R12" s="1563" t="s">
        <v>8</v>
      </c>
      <c r="S12" s="1564">
        <f t="shared" si="0"/>
        <v>100</v>
      </c>
      <c r="T12" s="1563" t="s">
        <v>8</v>
      </c>
      <c r="U12" s="1564">
        <f t="shared" si="1"/>
        <v>100</v>
      </c>
      <c r="V12" s="1563" t="s">
        <v>8</v>
      </c>
      <c r="W12" s="1564">
        <f t="shared" si="2"/>
        <v>100</v>
      </c>
      <c r="X12" s="1565"/>
      <c r="Y12" s="3420"/>
      <c r="Z12" s="1145">
        <f t="shared" si="7"/>
        <v>111</v>
      </c>
      <c r="AA12" s="1566">
        <f>D12/F12</f>
        <v>1</v>
      </c>
      <c r="AB12" s="1566">
        <f>D12/H12</f>
        <v>1</v>
      </c>
      <c r="AC12" s="1566">
        <f>D12/J12</f>
        <v>1</v>
      </c>
    </row>
    <row r="13" spans="1:29" ht="15">
      <c r="A13" s="2938"/>
      <c r="B13" s="2944">
        <v>111</v>
      </c>
      <c r="C13" s="535"/>
      <c r="D13" s="536">
        <v>100</v>
      </c>
      <c r="E13" s="535"/>
      <c r="F13" s="250">
        <f>SUMIF(66:66,E13,67:67)-SUMIF(66:66,C13,67:67)+100</f>
        <v>100</v>
      </c>
      <c r="G13" s="915"/>
      <c r="H13" s="536">
        <f>SUMIF(66:66,G13,67:67)-SUMIF(66:66,C13,67:67)+100</f>
        <v>100</v>
      </c>
      <c r="I13" s="875"/>
      <c r="J13" s="536">
        <f>SUMIF(66:66,I13,67:67)-SUMIF(66:66,C13,67:67)+100</f>
        <v>100</v>
      </c>
      <c r="K13" s="577"/>
      <c r="L13" s="2137"/>
      <c r="M13" s="2129"/>
      <c r="N13" s="2129"/>
      <c r="O13" s="2136"/>
      <c r="P13" s="3463"/>
      <c r="Q13" s="1146">
        <f t="shared" si="6"/>
        <v>111</v>
      </c>
      <c r="R13" s="1563" t="s">
        <v>8</v>
      </c>
      <c r="S13" s="1564">
        <f t="shared" si="0"/>
        <v>100</v>
      </c>
      <c r="T13" s="1563" t="s">
        <v>8</v>
      </c>
      <c r="U13" s="1564">
        <f t="shared" si="1"/>
        <v>100</v>
      </c>
      <c r="V13" s="1563" t="s">
        <v>8</v>
      </c>
      <c r="W13" s="1564">
        <f t="shared" si="2"/>
        <v>100</v>
      </c>
      <c r="X13" s="1565"/>
      <c r="Y13" s="3420"/>
      <c r="Z13" s="1145">
        <f t="shared" si="7"/>
        <v>111</v>
      </c>
      <c r="AA13" s="1566">
        <f t="shared" si="3"/>
        <v>1</v>
      </c>
      <c r="AB13" s="1566">
        <f t="shared" si="4"/>
        <v>1</v>
      </c>
      <c r="AC13" s="1566">
        <f t="shared" si="5"/>
        <v>1</v>
      </c>
    </row>
    <row r="14" spans="1:29" ht="15.75" thickBot="1">
      <c r="A14" s="2939"/>
      <c r="B14" s="2945">
        <v>111</v>
      </c>
      <c r="C14" s="541"/>
      <c r="D14" s="542">
        <v>100</v>
      </c>
      <c r="E14" s="541"/>
      <c r="F14" s="542">
        <f>SUMIF(68:68,E14,69:69)-SUMIF(68:68,C14,69:69)+100</f>
        <v>100</v>
      </c>
      <c r="G14" s="915"/>
      <c r="H14" s="542">
        <f>SUMIF(68:68,G14,69:69)-SUMIF(68:68,C14,69:69)+100</f>
        <v>100</v>
      </c>
      <c r="I14" s="875"/>
      <c r="J14" s="542">
        <f>SUMIF(68:68,I14,69:69)-SUMIF(68:68,C14,69:69)+100</f>
        <v>100</v>
      </c>
      <c r="K14" s="577"/>
      <c r="L14" s="2137"/>
      <c r="M14" s="2129"/>
      <c r="N14" s="2129"/>
      <c r="O14" s="2136"/>
      <c r="P14" s="3463"/>
      <c r="Q14" s="1146">
        <f t="shared" si="6"/>
        <v>111</v>
      </c>
      <c r="R14" s="1563" t="s">
        <v>8</v>
      </c>
      <c r="S14" s="1564">
        <f t="shared" si="0"/>
        <v>100</v>
      </c>
      <c r="T14" s="1563" t="s">
        <v>8</v>
      </c>
      <c r="U14" s="1564">
        <f t="shared" si="1"/>
        <v>100</v>
      </c>
      <c r="V14" s="1563" t="s">
        <v>8</v>
      </c>
      <c r="W14" s="1564">
        <f t="shared" si="2"/>
        <v>100</v>
      </c>
      <c r="X14" s="1565"/>
      <c r="Y14" s="3420"/>
      <c r="Z14" s="1145">
        <f t="shared" si="7"/>
        <v>111</v>
      </c>
      <c r="AA14" s="1566">
        <f t="shared" si="3"/>
        <v>1</v>
      </c>
      <c r="AB14" s="1566">
        <f t="shared" si="4"/>
        <v>1</v>
      </c>
      <c r="AC14" s="1566">
        <f t="shared" si="5"/>
        <v>1</v>
      </c>
    </row>
    <row r="15" spans="1:29" ht="57">
      <c r="A15" s="2931" t="s">
        <v>2753</v>
      </c>
      <c r="B15" s="165" t="s">
        <v>782</v>
      </c>
      <c r="C15" s="916" t="str">
        <f>估价对象房地状况!G3</f>
        <v>估价对象位于XX开发区，园区建设成熟度XX，产业集聚程度XX</v>
      </c>
      <c r="D15" s="545">
        <v>100</v>
      </c>
      <c r="E15" s="546"/>
      <c r="F15" s="547">
        <f>SUMIF(70:70,E16,71:71)-SUMIF(70:70,C16,71:71)+100</f>
        <v>100</v>
      </c>
      <c r="G15" s="548"/>
      <c r="H15" s="545">
        <f>SUMIF(70:70,G16,71:71)-SUMIF(70:70,C16,71:71)+100</f>
        <v>100</v>
      </c>
      <c r="I15" s="546"/>
      <c r="J15" s="545">
        <f>SUMIF(70:70,I16,71:71)-SUMIF(70:70,C16,71:71)+100</f>
        <v>100</v>
      </c>
      <c r="K15" s="893"/>
      <c r="L15" s="2137"/>
      <c r="M15" s="2129"/>
      <c r="N15" s="2129"/>
      <c r="O15" s="2136"/>
      <c r="P15" s="3465" t="s">
        <v>534</v>
      </c>
      <c r="Q15" s="1567" t="str">
        <f t="shared" si="6"/>
        <v>产业集聚程度</v>
      </c>
      <c r="R15" s="1568" t="s">
        <v>8</v>
      </c>
      <c r="S15" s="1569">
        <f t="shared" si="0"/>
        <v>100</v>
      </c>
      <c r="T15" s="1568" t="s">
        <v>8</v>
      </c>
      <c r="U15" s="1569">
        <f t="shared" si="1"/>
        <v>100</v>
      </c>
      <c r="V15" s="1568" t="s">
        <v>8</v>
      </c>
      <c r="W15" s="1569">
        <f t="shared" si="2"/>
        <v>100</v>
      </c>
      <c r="X15" s="1562"/>
      <c r="Y15" s="3465" t="s">
        <v>534</v>
      </c>
      <c r="Z15" s="1570" t="str">
        <f t="shared" si="7"/>
        <v>产业集聚程度</v>
      </c>
      <c r="AA15" s="1571">
        <f t="shared" si="3"/>
        <v>1</v>
      </c>
      <c r="AB15" s="1571">
        <f t="shared" si="4"/>
        <v>1</v>
      </c>
      <c r="AC15" s="1571">
        <f t="shared" si="5"/>
        <v>1</v>
      </c>
    </row>
    <row r="16" spans="1:29" ht="15">
      <c r="A16" s="528"/>
      <c r="B16" s="865"/>
      <c r="C16" s="572"/>
      <c r="D16" s="551"/>
      <c r="E16" s="572"/>
      <c r="F16" s="553"/>
      <c r="G16" s="572"/>
      <c r="H16" s="555"/>
      <c r="I16" s="572"/>
      <c r="J16" s="551"/>
      <c r="K16" s="894"/>
      <c r="L16" s="2137"/>
      <c r="M16" s="2129"/>
      <c r="N16" s="2129"/>
      <c r="O16" s="2136"/>
      <c r="P16" s="3466"/>
      <c r="Q16" s="1567"/>
      <c r="R16" s="1568"/>
      <c r="S16" s="1569"/>
      <c r="T16" s="1568"/>
      <c r="U16" s="1569"/>
      <c r="V16" s="1568"/>
      <c r="W16" s="1569"/>
      <c r="X16" s="1562"/>
      <c r="Y16" s="3466"/>
      <c r="Z16" s="1570"/>
      <c r="AA16" s="1571">
        <v>1</v>
      </c>
      <c r="AB16" s="1571">
        <v>1</v>
      </c>
      <c r="AC16" s="1571">
        <v>1</v>
      </c>
    </row>
    <row r="17" spans="1:29" ht="85.5">
      <c r="A17" s="528"/>
      <c r="B17" s="867" t="s">
        <v>289</v>
      </c>
      <c r="C17" s="868" t="str">
        <f>估价对象房地状况!G4</f>
        <v>估价对象周边道路状况、公共交通通达情况、停车便捷程度，综合评价交通便捷度较好</v>
      </c>
      <c r="D17" s="555">
        <v>100</v>
      </c>
      <c r="E17" s="558"/>
      <c r="F17" s="559">
        <f>SUMIF(72:72,E18,73:73)-SUMIF(72:72,C18,73:73)+100</f>
        <v>100</v>
      </c>
      <c r="G17" s="560"/>
      <c r="H17" s="561">
        <f>SUMIF(72:72,G18,73:73)-SUMIF(72:72,C18,73:73)+100</f>
        <v>100</v>
      </c>
      <c r="I17" s="558"/>
      <c r="J17" s="561">
        <f>SUMIF(72:72,I18,73:73)-SUMIF(72:72,C18,73:73)+100</f>
        <v>100</v>
      </c>
      <c r="K17" s="893"/>
      <c r="L17" s="2137"/>
      <c r="M17" s="2129"/>
      <c r="N17" s="2129"/>
      <c r="O17" s="2136"/>
      <c r="P17" s="3466"/>
      <c r="Q17" s="1567" t="str">
        <f>B17</f>
        <v>交通便捷度</v>
      </c>
      <c r="R17" s="1568" t="s">
        <v>8</v>
      </c>
      <c r="S17" s="1569">
        <f>F17</f>
        <v>100</v>
      </c>
      <c r="T17" s="1568" t="s">
        <v>8</v>
      </c>
      <c r="U17" s="1569">
        <f>H17</f>
        <v>100</v>
      </c>
      <c r="V17" s="1568" t="s">
        <v>8</v>
      </c>
      <c r="W17" s="1569">
        <f>J17</f>
        <v>100</v>
      </c>
      <c r="X17" s="1562"/>
      <c r="Y17" s="3466"/>
      <c r="Z17" s="1570" t="str">
        <f>Q17</f>
        <v>交通便捷度</v>
      </c>
      <c r="AA17" s="1571">
        <f t="shared" si="3"/>
        <v>1</v>
      </c>
      <c r="AB17" s="1571">
        <f t="shared" si="4"/>
        <v>1</v>
      </c>
      <c r="AC17" s="1571">
        <f t="shared" si="5"/>
        <v>1</v>
      </c>
    </row>
    <row r="18" spans="1:29" ht="15">
      <c r="A18" s="528"/>
      <c r="B18" s="591"/>
      <c r="C18" s="869"/>
      <c r="D18" s="555"/>
      <c r="E18" s="564"/>
      <c r="F18" s="559"/>
      <c r="G18" s="565"/>
      <c r="H18" s="551"/>
      <c r="I18" s="564"/>
      <c r="J18" s="551"/>
      <c r="K18" s="894"/>
      <c r="L18" s="2137"/>
      <c r="M18" s="2129"/>
      <c r="N18" s="2129"/>
      <c r="O18" s="2136"/>
      <c r="P18" s="3466"/>
      <c r="Q18" s="1567"/>
      <c r="R18" s="1568"/>
      <c r="S18" s="1569"/>
      <c r="T18" s="1568"/>
      <c r="U18" s="1569"/>
      <c r="V18" s="1568"/>
      <c r="W18" s="1569"/>
      <c r="X18" s="1562"/>
      <c r="Y18" s="3466"/>
      <c r="Z18" s="1570"/>
      <c r="AA18" s="1571">
        <v>1</v>
      </c>
      <c r="AB18" s="1571">
        <v>1</v>
      </c>
      <c r="AC18" s="1571">
        <v>1</v>
      </c>
    </row>
    <row r="19" spans="1:29" ht="42.75">
      <c r="A19" s="528"/>
      <c r="B19" s="2622" t="s">
        <v>2543</v>
      </c>
      <c r="C19" s="868" t="str">
        <f>估价对象房地状况!G5</f>
        <v>估价对象所在区域公共配套设施齐备情况</v>
      </c>
      <c r="D19" s="561">
        <v>100</v>
      </c>
      <c r="E19" s="566"/>
      <c r="F19" s="567">
        <f>SUMIF(74:74,E20,75:75)-SUMIF(74:74,C20,75:75)+100</f>
        <v>100</v>
      </c>
      <c r="G19" s="568"/>
      <c r="H19" s="555">
        <f>SUMIF(74:74,G20,75:75)-SUMIF(74:74,C20,75:75)+100</f>
        <v>100</v>
      </c>
      <c r="I19" s="566"/>
      <c r="J19" s="555">
        <f>SUMIF(74:74,I20,75:75)-SUMIF(74:74,C20,75:75)+100</f>
        <v>100</v>
      </c>
      <c r="K19" s="893"/>
      <c r="L19" s="2137"/>
      <c r="M19" s="2129"/>
      <c r="N19" s="2129"/>
      <c r="O19" s="2136"/>
      <c r="P19" s="3466"/>
      <c r="Q19" s="1567" t="str">
        <f>B19</f>
        <v>公共配套设施</v>
      </c>
      <c r="R19" s="1568" t="s">
        <v>8</v>
      </c>
      <c r="S19" s="1569">
        <f>F19</f>
        <v>100</v>
      </c>
      <c r="T19" s="1568" t="s">
        <v>8</v>
      </c>
      <c r="U19" s="1569">
        <f>H19</f>
        <v>100</v>
      </c>
      <c r="V19" s="1568" t="s">
        <v>8</v>
      </c>
      <c r="W19" s="1569">
        <f>J19</f>
        <v>100</v>
      </c>
      <c r="X19" s="1562"/>
      <c r="Y19" s="3466"/>
      <c r="Z19" s="1570" t="str">
        <f>Q19</f>
        <v>公共配套设施</v>
      </c>
      <c r="AA19" s="1571">
        <f t="shared" si="3"/>
        <v>1</v>
      </c>
      <c r="AB19" s="1571">
        <f t="shared" si="4"/>
        <v>1</v>
      </c>
      <c r="AC19" s="1571">
        <f t="shared" si="5"/>
        <v>1</v>
      </c>
    </row>
    <row r="20" spans="1:29" ht="15">
      <c r="A20" s="528"/>
      <c r="B20" s="562"/>
      <c r="C20" s="572"/>
      <c r="D20" s="551"/>
      <c r="E20" s="552"/>
      <c r="F20" s="553"/>
      <c r="G20" s="554"/>
      <c r="H20" s="551"/>
      <c r="I20" s="552"/>
      <c r="J20" s="551"/>
      <c r="K20" s="894"/>
      <c r="L20" s="2137"/>
      <c r="M20" s="2129"/>
      <c r="N20" s="2129"/>
      <c r="O20" s="2136"/>
      <c r="P20" s="3466"/>
      <c r="Q20" s="1567"/>
      <c r="R20" s="1568"/>
      <c r="S20" s="1569"/>
      <c r="T20" s="1568"/>
      <c r="U20" s="1569"/>
      <c r="V20" s="1568"/>
      <c r="W20" s="1569"/>
      <c r="X20" s="1562"/>
      <c r="Y20" s="3466"/>
      <c r="Z20" s="1570"/>
      <c r="AA20" s="1571">
        <v>1</v>
      </c>
      <c r="AB20" s="1571">
        <v>1</v>
      </c>
      <c r="AC20" s="1571">
        <v>1</v>
      </c>
    </row>
    <row r="21" spans="1:29" ht="28.5">
      <c r="A21" s="528"/>
      <c r="B21" s="2610" t="s">
        <v>2555</v>
      </c>
      <c r="C21" s="868" t="str">
        <f>估价对象房地状况!G6</f>
        <v>估价对象所在区域基础设施水平</v>
      </c>
      <c r="D21" s="561">
        <v>100</v>
      </c>
      <c r="E21" s="568"/>
      <c r="F21" s="567">
        <f>SUMIF(76:76,E22,77:77)-SUMIF(76:76,C22,77:77)+100</f>
        <v>100</v>
      </c>
      <c r="G21" s="568"/>
      <c r="H21" s="561">
        <f>SUMIF(76:76,G22,77:77)-SUMIF(76:76,C22,77:77)+100</f>
        <v>100</v>
      </c>
      <c r="I21" s="566"/>
      <c r="J21" s="561">
        <f>SUMIF(76:76,I22,77:77)-SUMIF(76:76,C22,77:77)+100</f>
        <v>100</v>
      </c>
      <c r="K21" s="893"/>
      <c r="L21" s="2137"/>
      <c r="M21" s="2129"/>
      <c r="N21" s="2129"/>
      <c r="O21" s="2136"/>
      <c r="P21" s="3466"/>
      <c r="Q21" s="2598" t="str">
        <f>B21</f>
        <v>基础设施水平</v>
      </c>
      <c r="R21" s="1568" t="s">
        <v>8</v>
      </c>
      <c r="S21" s="1569">
        <f>F21</f>
        <v>100</v>
      </c>
      <c r="T21" s="1568" t="s">
        <v>8</v>
      </c>
      <c r="U21" s="1569">
        <f>H21</f>
        <v>100</v>
      </c>
      <c r="V21" s="1568" t="s">
        <v>8</v>
      </c>
      <c r="W21" s="1569">
        <f>J21</f>
        <v>100</v>
      </c>
      <c r="X21" s="2600"/>
      <c r="Y21" s="3466"/>
      <c r="Z21" s="2599" t="str">
        <f>Q21</f>
        <v>基础设施水平</v>
      </c>
      <c r="AA21" s="1571">
        <f t="shared" ref="AA21" si="8">D21/F21</f>
        <v>1</v>
      </c>
      <c r="AB21" s="1571">
        <f t="shared" ref="AB21" si="9">D21/H21</f>
        <v>1</v>
      </c>
      <c r="AC21" s="1571">
        <f t="shared" ref="AC21" si="10">D21/J21</f>
        <v>1</v>
      </c>
    </row>
    <row r="22" spans="1:29" ht="15">
      <c r="A22" s="528"/>
      <c r="B22" s="574"/>
      <c r="C22" s="869"/>
      <c r="D22" s="551"/>
      <c r="E22" s="572"/>
      <c r="F22" s="553"/>
      <c r="G22" s="572"/>
      <c r="H22" s="551"/>
      <c r="I22" s="572"/>
      <c r="J22" s="551"/>
      <c r="K22" s="2621"/>
      <c r="L22" s="2137"/>
      <c r="M22" s="2129"/>
      <c r="N22" s="2129"/>
      <c r="O22" s="2136"/>
      <c r="P22" s="3466"/>
      <c r="Q22" s="2598"/>
      <c r="R22" s="1568"/>
      <c r="S22" s="1569"/>
      <c r="T22" s="1568"/>
      <c r="U22" s="1569"/>
      <c r="V22" s="1568"/>
      <c r="W22" s="1569"/>
      <c r="X22" s="2600"/>
      <c r="Y22" s="3466"/>
      <c r="Z22" s="2599"/>
      <c r="AA22" s="1571">
        <v>1</v>
      </c>
      <c r="AB22" s="1571">
        <v>1</v>
      </c>
      <c r="AC22" s="1571">
        <v>1</v>
      </c>
    </row>
    <row r="23" spans="1:29" ht="71.25">
      <c r="A23" s="528"/>
      <c r="B23" s="867" t="s">
        <v>771</v>
      </c>
      <c r="C23" s="868" t="str">
        <f>估价对象房地状况!G7</f>
        <v>该园区内是否有污染型企业，绿化情况，卫生条件，整体环境状况判断</v>
      </c>
      <c r="D23" s="555">
        <v>100</v>
      </c>
      <c r="E23" s="558"/>
      <c r="F23" s="559">
        <f>SUMIF(78:78,E24,79:79)-SUMIF(78:78,C24,79:79)+100</f>
        <v>100</v>
      </c>
      <c r="G23" s="560"/>
      <c r="H23" s="555">
        <f>SUMIF(78:78,G24,79:79)-SUMIF(78:78,C24,79:79)+100</f>
        <v>100</v>
      </c>
      <c r="I23" s="558"/>
      <c r="J23" s="555">
        <f>SUMIF(78:78,I24,79:79)-SUMIF(78:78,C24,79:79)+100</f>
        <v>100</v>
      </c>
      <c r="K23" s="893"/>
      <c r="L23" s="2137"/>
      <c r="M23" s="2129"/>
      <c r="N23" s="2129"/>
      <c r="O23" s="2136"/>
      <c r="P23" s="3466"/>
      <c r="Q23" s="1567" t="str">
        <f>B23</f>
        <v>环境质量</v>
      </c>
      <c r="R23" s="1568" t="s">
        <v>8</v>
      </c>
      <c r="S23" s="1569">
        <f>F23</f>
        <v>100</v>
      </c>
      <c r="T23" s="1568" t="s">
        <v>8</v>
      </c>
      <c r="U23" s="1569">
        <f>H23</f>
        <v>100</v>
      </c>
      <c r="V23" s="1568" t="s">
        <v>8</v>
      </c>
      <c r="W23" s="1569">
        <f>J23</f>
        <v>100</v>
      </c>
      <c r="X23" s="1562"/>
      <c r="Y23" s="3466"/>
      <c r="Z23" s="1570" t="str">
        <f>Q23</f>
        <v>环境质量</v>
      </c>
      <c r="AA23" s="1571">
        <f t="shared" si="3"/>
        <v>1</v>
      </c>
      <c r="AB23" s="1571">
        <f t="shared" si="4"/>
        <v>1</v>
      </c>
      <c r="AC23" s="1571">
        <f t="shared" si="5"/>
        <v>1</v>
      </c>
    </row>
    <row r="24" spans="1:29" ht="15">
      <c r="A24" s="528"/>
      <c r="B24" s="917"/>
      <c r="C24" s="572"/>
      <c r="D24" s="551"/>
      <c r="E24" s="552"/>
      <c r="F24" s="553"/>
      <c r="G24" s="554"/>
      <c r="H24" s="551"/>
      <c r="I24" s="552"/>
      <c r="J24" s="551"/>
      <c r="K24" s="894"/>
      <c r="L24" s="2137"/>
      <c r="M24" s="2129"/>
      <c r="N24" s="2129"/>
      <c r="O24" s="2136"/>
      <c r="P24" s="3466"/>
      <c r="Q24" s="1567"/>
      <c r="R24" s="1568"/>
      <c r="S24" s="1569"/>
      <c r="T24" s="1568"/>
      <c r="U24" s="1569"/>
      <c r="V24" s="1568"/>
      <c r="W24" s="1569"/>
      <c r="X24" s="1562"/>
      <c r="Y24" s="3466"/>
      <c r="Z24" s="1570"/>
      <c r="AA24" s="1571">
        <v>1</v>
      </c>
      <c r="AB24" s="1571">
        <v>1</v>
      </c>
      <c r="AC24" s="1571">
        <v>1</v>
      </c>
    </row>
    <row r="25" spans="1:29" ht="15">
      <c r="A25" s="513"/>
      <c r="B25" s="873">
        <v>111</v>
      </c>
      <c r="C25" s="535"/>
      <c r="D25" s="536">
        <v>100</v>
      </c>
      <c r="E25" s="535"/>
      <c r="F25" s="571">
        <f>SUMIF(80:80,E25,81:81)-SUMIF(80:80,C25,81:81)+100</f>
        <v>100</v>
      </c>
      <c r="G25" s="535"/>
      <c r="H25" s="536">
        <f>SUMIF(80:80,G25,81:81)-SUMIF(80:80,C25,81:81)+100</f>
        <v>100</v>
      </c>
      <c r="I25" s="535"/>
      <c r="J25" s="536">
        <f>SUMIF(80:80,I25,81:81)-SUMIF(80:80,C25,81:81)+100</f>
        <v>100</v>
      </c>
      <c r="K25" s="577"/>
      <c r="L25" s="2137"/>
      <c r="M25" s="2129"/>
      <c r="N25" s="2129"/>
      <c r="O25" s="2136"/>
      <c r="P25" s="3466"/>
      <c r="Q25" s="1567">
        <f>B25</f>
        <v>111</v>
      </c>
      <c r="R25" s="1568" t="s">
        <v>8</v>
      </c>
      <c r="S25" s="1569">
        <f>F25</f>
        <v>100</v>
      </c>
      <c r="T25" s="1568" t="s">
        <v>8</v>
      </c>
      <c r="U25" s="1569">
        <f>H25</f>
        <v>100</v>
      </c>
      <c r="V25" s="1568" t="s">
        <v>8</v>
      </c>
      <c r="W25" s="1569">
        <f>J25</f>
        <v>100</v>
      </c>
      <c r="X25" s="1562"/>
      <c r="Y25" s="3466"/>
      <c r="Z25" s="1570">
        <f>Q25</f>
        <v>111</v>
      </c>
      <c r="AA25" s="1571">
        <f t="shared" si="3"/>
        <v>1</v>
      </c>
      <c r="AB25" s="1571">
        <f t="shared" si="4"/>
        <v>1</v>
      </c>
      <c r="AC25" s="1571">
        <f t="shared" si="5"/>
        <v>1</v>
      </c>
    </row>
    <row r="26" spans="1:29" ht="15">
      <c r="A26" s="528"/>
      <c r="B26" s="873">
        <v>111</v>
      </c>
      <c r="C26" s="535"/>
      <c r="D26" s="536">
        <v>100</v>
      </c>
      <c r="E26" s="535"/>
      <c r="F26" s="571">
        <f>SUMIF(82:82,E26,83:83)-SUMIF(82:82,C26,83:83)+100</f>
        <v>100</v>
      </c>
      <c r="G26" s="535"/>
      <c r="H26" s="536">
        <f>SUMIF(82:82,G26,83:83)-SUMIF(82:82,C26,83:83)+100</f>
        <v>100</v>
      </c>
      <c r="I26" s="535"/>
      <c r="J26" s="536">
        <f>SUMIF(82:82,I26,83:83)-SUMIF(82:82,C26,83:83)+100</f>
        <v>100</v>
      </c>
      <c r="K26" s="577"/>
      <c r="L26" s="2137"/>
      <c r="M26" s="2129"/>
      <c r="N26" s="2129"/>
      <c r="O26" s="2136"/>
      <c r="P26" s="3466"/>
      <c r="Q26" s="1567">
        <f t="shared" ref="Q26:Q40" si="11">B26</f>
        <v>111</v>
      </c>
      <c r="R26" s="1568" t="s">
        <v>8</v>
      </c>
      <c r="S26" s="1569">
        <f>F26</f>
        <v>100</v>
      </c>
      <c r="T26" s="1568" t="s">
        <v>8</v>
      </c>
      <c r="U26" s="1569">
        <f>H26</f>
        <v>100</v>
      </c>
      <c r="V26" s="1568" t="s">
        <v>8</v>
      </c>
      <c r="W26" s="1569">
        <f>J26</f>
        <v>100</v>
      </c>
      <c r="X26" s="1562"/>
      <c r="Y26" s="3466"/>
      <c r="Z26" s="1570">
        <f>Q26</f>
        <v>111</v>
      </c>
      <c r="AA26" s="1571">
        <f t="shared" si="3"/>
        <v>1</v>
      </c>
      <c r="AB26" s="1571">
        <f t="shared" si="4"/>
        <v>1</v>
      </c>
      <c r="AC26" s="1571">
        <f t="shared" si="5"/>
        <v>1</v>
      </c>
    </row>
    <row r="27" spans="1:29" s="1215" customFormat="1" ht="15">
      <c r="A27" s="532"/>
      <c r="B27" s="873">
        <v>111</v>
      </c>
      <c r="C27" s="535"/>
      <c r="D27" s="871">
        <v>100</v>
      </c>
      <c r="E27" s="535"/>
      <c r="F27" s="872">
        <f>SUMIF(84:84,E27,85:85)-SUMIF(84:84,C27,85:85)+100</f>
        <v>100</v>
      </c>
      <c r="G27" s="535"/>
      <c r="H27" s="871">
        <f>SUMIF(84:84,G27,85:85)-SUMIF(84:84,C27,85:85)+100</f>
        <v>100</v>
      </c>
      <c r="I27" s="535"/>
      <c r="J27" s="871">
        <f>SUMIF(84:84,I27,85:85)-SUMIF(84:84,C27,85:85)+100</f>
        <v>100</v>
      </c>
      <c r="K27" s="577"/>
      <c r="L27" s="2130"/>
      <c r="M27" s="2131"/>
      <c r="N27" s="2131"/>
      <c r="O27" s="2132"/>
      <c r="P27" s="3466"/>
      <c r="Q27" s="1146">
        <f t="shared" si="11"/>
        <v>111</v>
      </c>
      <c r="R27" s="1563" t="s">
        <v>8</v>
      </c>
      <c r="S27" s="1564">
        <f>F27</f>
        <v>100</v>
      </c>
      <c r="T27" s="1563" t="s">
        <v>8</v>
      </c>
      <c r="U27" s="1564">
        <f>H27</f>
        <v>100</v>
      </c>
      <c r="V27" s="1563" t="s">
        <v>8</v>
      </c>
      <c r="W27" s="1564">
        <f>J27</f>
        <v>100</v>
      </c>
      <c r="X27" s="1565"/>
      <c r="Y27" s="3466"/>
      <c r="Z27" s="1145">
        <f>Q27</f>
        <v>111</v>
      </c>
      <c r="AA27" s="1571">
        <f>D27/F27</f>
        <v>1</v>
      </c>
      <c r="AB27" s="1571">
        <f>D27/H27</f>
        <v>1</v>
      </c>
      <c r="AC27" s="1571">
        <f>D27/J27</f>
        <v>1</v>
      </c>
    </row>
    <row r="28" spans="1:29" ht="15.75" thickBot="1">
      <c r="A28" s="539"/>
      <c r="B28" s="873">
        <v>111</v>
      </c>
      <c r="C28" s="541"/>
      <c r="D28" s="542">
        <v>100</v>
      </c>
      <c r="E28" s="535"/>
      <c r="F28" s="862">
        <f>SUMIF(86:86,E28,87:87)-SUMIF(86:86,C28,87:87)+100</f>
        <v>100</v>
      </c>
      <c r="G28" s="875"/>
      <c r="H28" s="542">
        <f>SUMIF(86:86,G28,87:87)-SUMIF(86:86,C28,87:87)+100</f>
        <v>100</v>
      </c>
      <c r="I28" s="875"/>
      <c r="J28" s="542">
        <f>SUMIF(86:86,I28,87:87)-SUMIF(86:86,C28,87:87)+100</f>
        <v>100</v>
      </c>
      <c r="K28" s="577"/>
      <c r="L28" s="2137"/>
      <c r="M28" s="2129"/>
      <c r="N28" s="2129"/>
      <c r="O28" s="2136"/>
      <c r="P28" s="3466"/>
      <c r="Q28" s="1567">
        <f t="shared" si="11"/>
        <v>111</v>
      </c>
      <c r="R28" s="1568" t="s">
        <v>8</v>
      </c>
      <c r="S28" s="1569">
        <f t="shared" ref="S28:S40" si="12">F28</f>
        <v>100</v>
      </c>
      <c r="T28" s="1568" t="s">
        <v>8</v>
      </c>
      <c r="U28" s="1569">
        <f t="shared" ref="U28:U40" si="13">H28</f>
        <v>100</v>
      </c>
      <c r="V28" s="1568" t="s">
        <v>8</v>
      </c>
      <c r="W28" s="1569">
        <f t="shared" ref="W28:W40" si="14">J28</f>
        <v>100</v>
      </c>
      <c r="X28" s="1562"/>
      <c r="Y28" s="3466"/>
      <c r="Z28" s="1570">
        <f t="shared" ref="Z28:Z40" si="15">Q28</f>
        <v>111</v>
      </c>
      <c r="AA28" s="1571">
        <f t="shared" si="3"/>
        <v>1</v>
      </c>
      <c r="AB28" s="1571">
        <f t="shared" si="4"/>
        <v>1</v>
      </c>
      <c r="AC28" s="1571">
        <f t="shared" si="5"/>
        <v>1</v>
      </c>
    </row>
    <row r="29" spans="1:29" ht="15">
      <c r="A29" s="2928" t="s">
        <v>2754</v>
      </c>
      <c r="B29" s="171" t="s">
        <v>773</v>
      </c>
      <c r="C29" s="911"/>
      <c r="D29" s="593">
        <v>100</v>
      </c>
      <c r="E29" s="911"/>
      <c r="F29" s="571">
        <f>SUMIF(88:88,E29,89:89)-SUMIF(88:88,C29,89:89)+100</f>
        <v>100</v>
      </c>
      <c r="G29" s="911"/>
      <c r="H29" s="536">
        <f>SUMIF(88:88,G29,89:89)-SUMIF(88:88,C29,89:89)+100</f>
        <v>100</v>
      </c>
      <c r="I29" s="911"/>
      <c r="J29" s="593">
        <f>SUMIF(88:88,I29,89:89)-SUMIF(88:88,C29,89:89)+100</f>
        <v>100</v>
      </c>
      <c r="K29" s="580"/>
      <c r="L29" s="2137"/>
      <c r="M29" s="2129"/>
      <c r="N29" s="2129"/>
      <c r="O29" s="2136"/>
      <c r="P29" s="3467" t="s">
        <v>544</v>
      </c>
      <c r="Q29" s="1567" t="str">
        <f t="shared" si="11"/>
        <v>建筑类型</v>
      </c>
      <c r="R29" s="1568" t="s">
        <v>8</v>
      </c>
      <c r="S29" s="1569">
        <f t="shared" si="12"/>
        <v>100</v>
      </c>
      <c r="T29" s="1568" t="s">
        <v>8</v>
      </c>
      <c r="U29" s="1569">
        <f t="shared" si="13"/>
        <v>100</v>
      </c>
      <c r="V29" s="1568" t="s">
        <v>8</v>
      </c>
      <c r="W29" s="1569">
        <f t="shared" si="14"/>
        <v>100</v>
      </c>
      <c r="X29" s="1562"/>
      <c r="Y29" s="3468" t="s">
        <v>544</v>
      </c>
      <c r="Z29" s="1570" t="str">
        <f t="shared" si="15"/>
        <v>建筑类型</v>
      </c>
      <c r="AA29" s="1571">
        <f t="shared" si="3"/>
        <v>1</v>
      </c>
      <c r="AB29" s="1571">
        <f t="shared" si="4"/>
        <v>1</v>
      </c>
      <c r="AC29" s="1571">
        <f t="shared" si="5"/>
        <v>1</v>
      </c>
    </row>
    <row r="30" spans="1:29" s="1334" customFormat="1" ht="15">
      <c r="A30" s="599"/>
      <c r="B30" s="525" t="s">
        <v>720</v>
      </c>
      <c r="C30" s="875"/>
      <c r="D30" s="250">
        <v>100</v>
      </c>
      <c r="E30" s="530"/>
      <c r="F30" s="859" t="e">
        <f>LOOKUP(E30,91:91,92:92)-LOOKUP(C30,91:91,92:92)+100</f>
        <v>#N/A</v>
      </c>
      <c r="G30" s="529"/>
      <c r="H30" s="250" t="e">
        <f>LOOKUP(G30,91:91,92:92)-LOOKUP(C30,91:91,92:92)+100</f>
        <v>#N/A</v>
      </c>
      <c r="I30" s="529"/>
      <c r="J30" s="250" t="e">
        <f>LOOKUP(I30,91:91,92:92)-LOOKUP(C30,91:91,92:92)+100</f>
        <v>#N/A</v>
      </c>
      <c r="K30" s="577"/>
      <c r="L30" s="2135"/>
      <c r="M30" s="2166"/>
      <c r="N30" s="2166"/>
      <c r="O30" s="2138"/>
      <c r="P30" s="3468"/>
      <c r="Q30" s="1600" t="str">
        <f t="shared" si="11"/>
        <v>项目建筑规模</v>
      </c>
      <c r="R30" s="1572" t="s">
        <v>8</v>
      </c>
      <c r="S30" s="1573" t="e">
        <f t="shared" si="12"/>
        <v>#N/A</v>
      </c>
      <c r="T30" s="1572" t="s">
        <v>8</v>
      </c>
      <c r="U30" s="1573" t="e">
        <f t="shared" si="13"/>
        <v>#N/A</v>
      </c>
      <c r="V30" s="1572" t="s">
        <v>8</v>
      </c>
      <c r="W30" s="1573" t="e">
        <f t="shared" si="14"/>
        <v>#N/A</v>
      </c>
      <c r="X30" s="1574"/>
      <c r="Y30" s="3468"/>
      <c r="Z30" s="1575" t="str">
        <f t="shared" si="15"/>
        <v>项目建筑规模</v>
      </c>
      <c r="AA30" s="1571" t="e">
        <f t="shared" si="3"/>
        <v>#N/A</v>
      </c>
      <c r="AB30" s="1571" t="e">
        <f t="shared" si="4"/>
        <v>#N/A</v>
      </c>
      <c r="AC30" s="1571" t="e">
        <f t="shared" si="5"/>
        <v>#N/A</v>
      </c>
    </row>
    <row r="31" spans="1:29" ht="15">
      <c r="A31" s="590"/>
      <c r="B31" s="525" t="s">
        <v>721</v>
      </c>
      <c r="C31" s="570"/>
      <c r="D31" s="536">
        <v>100</v>
      </c>
      <c r="E31" s="570"/>
      <c r="F31" s="571">
        <f>SUMIF(93:93,E31,94:94)-SUMIF(93:93,C31,94:94)+100</f>
        <v>100</v>
      </c>
      <c r="G31" s="570"/>
      <c r="H31" s="536">
        <f>SUMIF(93:93,G31,94:94)-SUMIF(93:93,C31,94:94)+100</f>
        <v>100</v>
      </c>
      <c r="I31" s="570"/>
      <c r="J31" s="536">
        <f>SUMIF(93:93,I31,94:94)-SUMIF(93:93,C31,94:94)+100</f>
        <v>100</v>
      </c>
      <c r="K31" s="580"/>
      <c r="L31" s="2137"/>
      <c r="M31" s="2129"/>
      <c r="N31" s="2129"/>
      <c r="O31" s="2136"/>
      <c r="P31" s="3468"/>
      <c r="Q31" s="1567" t="str">
        <f t="shared" si="11"/>
        <v>建筑结构</v>
      </c>
      <c r="R31" s="1568" t="s">
        <v>8</v>
      </c>
      <c r="S31" s="1569">
        <f t="shared" si="12"/>
        <v>100</v>
      </c>
      <c r="T31" s="1568" t="s">
        <v>8</v>
      </c>
      <c r="U31" s="1569">
        <f t="shared" si="13"/>
        <v>100</v>
      </c>
      <c r="V31" s="1568" t="s">
        <v>8</v>
      </c>
      <c r="W31" s="1569">
        <f t="shared" si="14"/>
        <v>100</v>
      </c>
      <c r="X31" s="1562"/>
      <c r="Y31" s="3468"/>
      <c r="Z31" s="1570" t="str">
        <f t="shared" si="15"/>
        <v>建筑结构</v>
      </c>
      <c r="AA31" s="1571">
        <f t="shared" si="3"/>
        <v>1</v>
      </c>
      <c r="AB31" s="1571">
        <f t="shared" si="4"/>
        <v>1</v>
      </c>
      <c r="AC31" s="1571">
        <f t="shared" si="5"/>
        <v>1</v>
      </c>
    </row>
    <row r="32" spans="1:29" ht="15">
      <c r="A32" s="590"/>
      <c r="B32" s="525" t="s">
        <v>756</v>
      </c>
      <c r="C32" s="570"/>
      <c r="D32" s="536">
        <v>100</v>
      </c>
      <c r="E32" s="570"/>
      <c r="F32" s="571">
        <f>SUMIF(95:95,E32,96:96)-SUMIF(95:95,C32,96:96)+100</f>
        <v>100</v>
      </c>
      <c r="G32" s="570"/>
      <c r="H32" s="536">
        <f>SUMIF(95:95,G32,96:96)-SUMIF(95:95,C32,96:96)+100</f>
        <v>100</v>
      </c>
      <c r="I32" s="570"/>
      <c r="J32" s="536">
        <f>SUMIF(95:95,I32,96:96)-SUMIF(95:95,C32,96:96)+100</f>
        <v>100</v>
      </c>
      <c r="K32" s="580"/>
      <c r="L32" s="2137"/>
      <c r="M32" s="2129"/>
      <c r="N32" s="2129"/>
      <c r="O32" s="2136"/>
      <c r="P32" s="3468"/>
      <c r="Q32" s="1567" t="str">
        <f t="shared" si="11"/>
        <v>公共部分装修</v>
      </c>
      <c r="R32" s="1568" t="s">
        <v>8</v>
      </c>
      <c r="S32" s="1569">
        <f t="shared" si="12"/>
        <v>100</v>
      </c>
      <c r="T32" s="1568" t="s">
        <v>8</v>
      </c>
      <c r="U32" s="1569">
        <f t="shared" si="13"/>
        <v>100</v>
      </c>
      <c r="V32" s="1568" t="s">
        <v>8</v>
      </c>
      <c r="W32" s="1569">
        <f t="shared" si="14"/>
        <v>100</v>
      </c>
      <c r="X32" s="1562"/>
      <c r="Y32" s="3468"/>
      <c r="Z32" s="1570" t="str">
        <f t="shared" si="15"/>
        <v>公共部分装修</v>
      </c>
      <c r="AA32" s="1571">
        <f t="shared" si="3"/>
        <v>1</v>
      </c>
      <c r="AB32" s="1571">
        <f t="shared" si="4"/>
        <v>1</v>
      </c>
      <c r="AC32" s="1571">
        <f t="shared" si="5"/>
        <v>1</v>
      </c>
    </row>
    <row r="33" spans="1:29" ht="15">
      <c r="A33" s="590"/>
      <c r="B33" s="525" t="s">
        <v>757</v>
      </c>
      <c r="C33" s="875"/>
      <c r="D33" s="536">
        <v>100</v>
      </c>
      <c r="E33" s="878"/>
      <c r="F33" s="571" t="e">
        <f>LOOKUP(E33,98:98,99:99)-LOOKUP(C33,98:98,99:99)+100</f>
        <v>#N/A</v>
      </c>
      <c r="G33" s="878"/>
      <c r="H33" s="571" t="e">
        <f>LOOKUP(G33,98:98,99:99)-LOOKUP(C33,98:98,99:99)+100</f>
        <v>#N/A</v>
      </c>
      <c r="I33" s="878"/>
      <c r="J33" s="536" t="e">
        <f>LOOKUP(I33,98:98,99:99)-LOOKUP(C33,98:98,99:99)+100</f>
        <v>#N/A</v>
      </c>
      <c r="K33" s="580"/>
      <c r="L33" s="2137"/>
      <c r="M33" s="2129"/>
      <c r="N33" s="2129"/>
      <c r="O33" s="2136"/>
      <c r="P33" s="3468"/>
      <c r="Q33" s="1567" t="str">
        <f t="shared" si="11"/>
        <v>成新度</v>
      </c>
      <c r="R33" s="1568" t="s">
        <v>8</v>
      </c>
      <c r="S33" s="1569" t="e">
        <f t="shared" si="12"/>
        <v>#N/A</v>
      </c>
      <c r="T33" s="1568" t="s">
        <v>8</v>
      </c>
      <c r="U33" s="1569" t="e">
        <f t="shared" si="13"/>
        <v>#N/A</v>
      </c>
      <c r="V33" s="1568" t="s">
        <v>8</v>
      </c>
      <c r="W33" s="1569" t="e">
        <f t="shared" si="14"/>
        <v>#N/A</v>
      </c>
      <c r="X33" s="1562"/>
      <c r="Y33" s="3468"/>
      <c r="Z33" s="1570" t="str">
        <f t="shared" si="15"/>
        <v>成新度</v>
      </c>
      <c r="AA33" s="1571" t="e">
        <f t="shared" si="3"/>
        <v>#N/A</v>
      </c>
      <c r="AB33" s="1571" t="e">
        <f t="shared" si="4"/>
        <v>#N/A</v>
      </c>
      <c r="AC33" s="1571" t="e">
        <f t="shared" si="5"/>
        <v>#N/A</v>
      </c>
    </row>
    <row r="34" spans="1:29" s="1215" customFormat="1" ht="15">
      <c r="A34" s="596"/>
      <c r="B34" s="525" t="s">
        <v>775</v>
      </c>
      <c r="C34" s="570"/>
      <c r="D34" s="250">
        <v>100</v>
      </c>
      <c r="E34" s="570"/>
      <c r="F34" s="571">
        <f>SUMIF(100:100,E34,101:101)-SUMIF(100:100,C34,101:101)+100</f>
        <v>100</v>
      </c>
      <c r="G34" s="570"/>
      <c r="H34" s="536">
        <f>SUMIF(100:100,G34,101:101)-SUMIF(100:100,C34,101:101)+100</f>
        <v>100</v>
      </c>
      <c r="I34" s="570"/>
      <c r="J34" s="536">
        <f>SUMIF(100:100,I34,101:101)-SUMIF(100:100,C34,101:101)+100</f>
        <v>100</v>
      </c>
      <c r="K34" s="580"/>
      <c r="L34" s="2130"/>
      <c r="M34" s="2131"/>
      <c r="N34" s="2131"/>
      <c r="O34" s="2132"/>
      <c r="P34" s="3468"/>
      <c r="Q34" s="1146" t="str">
        <f t="shared" si="11"/>
        <v>物业管理</v>
      </c>
      <c r="R34" s="1563" t="s">
        <v>8</v>
      </c>
      <c r="S34" s="1564">
        <f t="shared" si="12"/>
        <v>100</v>
      </c>
      <c r="T34" s="1563" t="s">
        <v>8</v>
      </c>
      <c r="U34" s="1564">
        <f t="shared" si="13"/>
        <v>100</v>
      </c>
      <c r="V34" s="1563" t="s">
        <v>8</v>
      </c>
      <c r="W34" s="1564">
        <f t="shared" si="14"/>
        <v>100</v>
      </c>
      <c r="X34" s="1565"/>
      <c r="Y34" s="3468"/>
      <c r="Z34" s="1145" t="str">
        <f t="shared" si="15"/>
        <v>物业管理</v>
      </c>
      <c r="AA34" s="1566">
        <f t="shared" si="3"/>
        <v>1</v>
      </c>
      <c r="AB34" s="1566">
        <f t="shared" si="4"/>
        <v>1</v>
      </c>
      <c r="AC34" s="1566">
        <f t="shared" si="5"/>
        <v>1</v>
      </c>
    </row>
    <row r="35" spans="1:29" ht="15">
      <c r="A35" s="590"/>
      <c r="B35" s="1890" t="s">
        <v>2562</v>
      </c>
      <c r="C35" s="570"/>
      <c r="D35" s="536">
        <v>100</v>
      </c>
      <c r="E35" s="570"/>
      <c r="F35" s="571">
        <f>SUMIF(102:102,E35,103:103)-SUMIF(102:102,C35,103:103)+100</f>
        <v>100</v>
      </c>
      <c r="G35" s="570"/>
      <c r="H35" s="536">
        <f>SUMIF(102:102,G35,103:103)-SUMIF(102:102,C35,103:103)+100</f>
        <v>100</v>
      </c>
      <c r="I35" s="570"/>
      <c r="J35" s="536">
        <f>SUMIF(102:102,I35,103:103)-SUMIF(102:102,C35,103:103)+100</f>
        <v>100</v>
      </c>
      <c r="K35" s="580"/>
      <c r="L35" s="2137"/>
      <c r="M35" s="2129"/>
      <c r="N35" s="2129"/>
      <c r="O35" s="2136"/>
      <c r="P35" s="3468" t="s">
        <v>544</v>
      </c>
      <c r="Q35" s="1567" t="str">
        <f t="shared" si="11"/>
        <v>市政基础设施</v>
      </c>
      <c r="R35" s="1568" t="s">
        <v>8</v>
      </c>
      <c r="S35" s="1569">
        <f t="shared" si="12"/>
        <v>100</v>
      </c>
      <c r="T35" s="1568" t="s">
        <v>8</v>
      </c>
      <c r="U35" s="1569">
        <f t="shared" si="13"/>
        <v>100</v>
      </c>
      <c r="V35" s="1568" t="s">
        <v>8</v>
      </c>
      <c r="W35" s="1569">
        <f t="shared" si="14"/>
        <v>100</v>
      </c>
      <c r="X35" s="1562"/>
      <c r="Y35" s="3468" t="s">
        <v>544</v>
      </c>
      <c r="Z35" s="1570" t="str">
        <f t="shared" si="15"/>
        <v>市政基础设施</v>
      </c>
      <c r="AA35" s="1571">
        <f t="shared" si="3"/>
        <v>1</v>
      </c>
      <c r="AB35" s="1571">
        <f t="shared" si="4"/>
        <v>1</v>
      </c>
      <c r="AC35" s="1571">
        <f t="shared" si="5"/>
        <v>1</v>
      </c>
    </row>
    <row r="36" spans="1:29" ht="15">
      <c r="A36" s="590"/>
      <c r="B36" s="525" t="s">
        <v>763</v>
      </c>
      <c r="C36" s="570"/>
      <c r="D36" s="536">
        <v>100</v>
      </c>
      <c r="E36" s="570"/>
      <c r="F36" s="571">
        <f>SUMIF(104:104,E36,105:105)-SUMIF(104:104,C36,105:105)+100</f>
        <v>100</v>
      </c>
      <c r="G36" s="570"/>
      <c r="H36" s="536">
        <f>SUMIF(104:104,G36,105:105)-SUMIF(104:104,C36,105:105)+100</f>
        <v>100</v>
      </c>
      <c r="I36" s="570"/>
      <c r="J36" s="536">
        <f>SUMIF(104:104,I36,105:105)-SUMIF(104:104,C36,105:105)+100</f>
        <v>100</v>
      </c>
      <c r="K36" s="580"/>
      <c r="L36" s="2137"/>
      <c r="M36" s="2129"/>
      <c r="N36" s="2129"/>
      <c r="O36" s="2136"/>
      <c r="P36" s="3468"/>
      <c r="Q36" s="1567" t="str">
        <f t="shared" si="11"/>
        <v>内部装修</v>
      </c>
      <c r="R36" s="1568" t="s">
        <v>8</v>
      </c>
      <c r="S36" s="1569">
        <f t="shared" si="12"/>
        <v>100</v>
      </c>
      <c r="T36" s="1568" t="s">
        <v>8</v>
      </c>
      <c r="U36" s="1569">
        <f t="shared" si="13"/>
        <v>100</v>
      </c>
      <c r="V36" s="1568" t="s">
        <v>8</v>
      </c>
      <c r="W36" s="1569">
        <f t="shared" si="14"/>
        <v>100</v>
      </c>
      <c r="X36" s="1562"/>
      <c r="Y36" s="3468"/>
      <c r="Z36" s="1570" t="str">
        <f t="shared" si="15"/>
        <v>内部装修</v>
      </c>
      <c r="AA36" s="1571">
        <f t="shared" si="3"/>
        <v>1</v>
      </c>
      <c r="AB36" s="1571">
        <f t="shared" si="4"/>
        <v>1</v>
      </c>
      <c r="AC36" s="1571">
        <f t="shared" si="5"/>
        <v>1</v>
      </c>
    </row>
    <row r="37" spans="1:29" ht="15">
      <c r="A37" s="590"/>
      <c r="B37" s="525" t="s">
        <v>783</v>
      </c>
      <c r="C37" s="579"/>
      <c r="D37" s="536">
        <v>100</v>
      </c>
      <c r="E37" s="579"/>
      <c r="F37" s="571">
        <f>SUMIF(106:106,E37,107:107)-SUMIF(106:106,C37,107:107)+100</f>
        <v>100</v>
      </c>
      <c r="G37" s="579"/>
      <c r="H37" s="536">
        <f>SUMIF(106:106,G37,107:107)-SUMIF(106:106,C37,107:107)+100</f>
        <v>100</v>
      </c>
      <c r="I37" s="579"/>
      <c r="J37" s="536">
        <f>SUMIF(106:106,I37,107:107)-SUMIF(106:106,C37,107:107)+100</f>
        <v>100</v>
      </c>
      <c r="K37" s="580"/>
      <c r="L37" s="2137"/>
      <c r="M37" s="2129"/>
      <c r="N37" s="2129"/>
      <c r="O37" s="2136"/>
      <c r="P37" s="3468"/>
      <c r="Q37" s="1567" t="str">
        <f t="shared" si="11"/>
        <v>内部装修状况</v>
      </c>
      <c r="R37" s="1568" t="s">
        <v>8</v>
      </c>
      <c r="S37" s="1569">
        <f t="shared" si="12"/>
        <v>100</v>
      </c>
      <c r="T37" s="1568" t="s">
        <v>8</v>
      </c>
      <c r="U37" s="1569">
        <f t="shared" si="13"/>
        <v>100</v>
      </c>
      <c r="V37" s="1568" t="s">
        <v>8</v>
      </c>
      <c r="W37" s="1569">
        <f t="shared" si="14"/>
        <v>100</v>
      </c>
      <c r="X37" s="1562"/>
      <c r="Y37" s="3468"/>
      <c r="Z37" s="1570" t="str">
        <f t="shared" si="15"/>
        <v>内部装修状况</v>
      </c>
      <c r="AA37" s="1571">
        <f t="shared" si="3"/>
        <v>1</v>
      </c>
      <c r="AB37" s="1571">
        <f t="shared" si="4"/>
        <v>1</v>
      </c>
      <c r="AC37" s="1571">
        <f t="shared" si="5"/>
        <v>1</v>
      </c>
    </row>
    <row r="38" spans="1:29" s="1334" customFormat="1" ht="15">
      <c r="A38" s="599"/>
      <c r="B38" s="873">
        <v>111</v>
      </c>
      <c r="C38" s="875"/>
      <c r="D38" s="536">
        <v>100</v>
      </c>
      <c r="E38" s="535"/>
      <c r="F38" s="571">
        <f>SUMIF(108:108,E38,109:109)-SUMIF(108:108,C38,109:109)+100</f>
        <v>100</v>
      </c>
      <c r="G38" s="875"/>
      <c r="H38" s="536">
        <f>SUMIF(108:108,G38,109:109)-SUMIF(108:108,C38,109:109)+100</f>
        <v>100</v>
      </c>
      <c r="I38" s="875"/>
      <c r="J38" s="536">
        <f>SUMIF(108:108,I38,109:1038)-SUMIF(108:108,C38,109:109)+100</f>
        <v>100</v>
      </c>
      <c r="K38" s="577"/>
      <c r="L38" s="2135"/>
      <c r="M38" s="2166"/>
      <c r="N38" s="2166"/>
      <c r="O38" s="2138"/>
      <c r="P38" s="3468"/>
      <c r="Q38" s="1600">
        <f t="shared" si="11"/>
        <v>111</v>
      </c>
      <c r="R38" s="1572" t="s">
        <v>8</v>
      </c>
      <c r="S38" s="1573">
        <f t="shared" si="12"/>
        <v>100</v>
      </c>
      <c r="T38" s="1572" t="s">
        <v>8</v>
      </c>
      <c r="U38" s="1573">
        <f t="shared" si="13"/>
        <v>100</v>
      </c>
      <c r="V38" s="1572" t="s">
        <v>8</v>
      </c>
      <c r="W38" s="1573">
        <f t="shared" si="14"/>
        <v>100</v>
      </c>
      <c r="X38" s="1574"/>
      <c r="Y38" s="3468"/>
      <c r="Z38" s="1575">
        <f t="shared" si="15"/>
        <v>111</v>
      </c>
      <c r="AA38" s="1571">
        <f t="shared" si="3"/>
        <v>1</v>
      </c>
      <c r="AB38" s="1571">
        <f t="shared" si="4"/>
        <v>1</v>
      </c>
      <c r="AC38" s="1571">
        <f t="shared" si="5"/>
        <v>1</v>
      </c>
    </row>
    <row r="39" spans="1:29" ht="15">
      <c r="A39" s="590"/>
      <c r="B39" s="873">
        <v>111</v>
      </c>
      <c r="C39" s="875"/>
      <c r="D39" s="536">
        <v>100</v>
      </c>
      <c r="E39" s="535"/>
      <c r="F39" s="571">
        <f>SUMIF(110:110,E39,111:111)-SUMIF(110:110,C39,111:111)+100</f>
        <v>100</v>
      </c>
      <c r="G39" s="875"/>
      <c r="H39" s="536">
        <f>SUMIF(110:110,G39,111:111)-SUMIF(110:110,C39,111:111)+100</f>
        <v>100</v>
      </c>
      <c r="I39" s="875"/>
      <c r="J39" s="536">
        <f>SUMIF(110:110,I39,111:111)-SUMIF(110:110,C39,111:111)+100</f>
        <v>100</v>
      </c>
      <c r="K39" s="577"/>
      <c r="L39" s="2137"/>
      <c r="M39" s="2129"/>
      <c r="N39" s="2129"/>
      <c r="O39" s="2136"/>
      <c r="P39" s="3468"/>
      <c r="Q39" s="1567">
        <f t="shared" si="11"/>
        <v>111</v>
      </c>
      <c r="R39" s="1568" t="s">
        <v>8</v>
      </c>
      <c r="S39" s="1569">
        <f t="shared" si="12"/>
        <v>100</v>
      </c>
      <c r="T39" s="1568" t="s">
        <v>8</v>
      </c>
      <c r="U39" s="1569">
        <f t="shared" si="13"/>
        <v>100</v>
      </c>
      <c r="V39" s="1568" t="s">
        <v>8</v>
      </c>
      <c r="W39" s="1569">
        <f t="shared" si="14"/>
        <v>100</v>
      </c>
      <c r="X39" s="1562"/>
      <c r="Y39" s="3468"/>
      <c r="Z39" s="1570">
        <f t="shared" si="15"/>
        <v>111</v>
      </c>
      <c r="AA39" s="1571">
        <f t="shared" si="3"/>
        <v>1</v>
      </c>
      <c r="AB39" s="1571">
        <f t="shared" si="4"/>
        <v>1</v>
      </c>
      <c r="AC39" s="1571">
        <f t="shared" si="5"/>
        <v>1</v>
      </c>
    </row>
    <row r="40" spans="1:29" ht="15.75" thickBot="1">
      <c r="A40" s="881"/>
      <c r="B40" s="540">
        <v>111</v>
      </c>
      <c r="C40" s="541"/>
      <c r="D40" s="542">
        <v>100</v>
      </c>
      <c r="E40" s="535"/>
      <c r="F40" s="862">
        <f>SUMIF(112:112,E40,113:113)-SUMIF(112:112,C40,113:113)+100</f>
        <v>100</v>
      </c>
      <c r="G40" s="875"/>
      <c r="H40" s="542">
        <f>SUMIF(112:112,G40,113:113)-SUMIF(112:112,C40,113:113)+100</f>
        <v>100</v>
      </c>
      <c r="I40" s="875"/>
      <c r="J40" s="542">
        <f>SUMIF(112:112,I40,113:113)-SUMIF(112:112,C40,113:113)+100</f>
        <v>100</v>
      </c>
      <c r="K40" s="577"/>
      <c r="L40" s="2137"/>
      <c r="M40" s="2129"/>
      <c r="N40" s="2129"/>
      <c r="O40" s="2136"/>
      <c r="P40" s="3543"/>
      <c r="Q40" s="1567">
        <f t="shared" si="11"/>
        <v>111</v>
      </c>
      <c r="R40" s="1568" t="s">
        <v>8</v>
      </c>
      <c r="S40" s="1569">
        <f t="shared" si="12"/>
        <v>100</v>
      </c>
      <c r="T40" s="1568" t="s">
        <v>8</v>
      </c>
      <c r="U40" s="1569">
        <f t="shared" si="13"/>
        <v>100</v>
      </c>
      <c r="V40" s="1568" t="s">
        <v>8</v>
      </c>
      <c r="W40" s="1569">
        <f t="shared" si="14"/>
        <v>100</v>
      </c>
      <c r="X40" s="1562"/>
      <c r="Y40" s="3543"/>
      <c r="Z40" s="1570">
        <f t="shared" si="15"/>
        <v>111</v>
      </c>
      <c r="AA40" s="1571">
        <f t="shared" si="3"/>
        <v>1</v>
      </c>
      <c r="AB40" s="1571">
        <f t="shared" si="4"/>
        <v>1</v>
      </c>
      <c r="AC40" s="1571">
        <f t="shared" si="5"/>
        <v>1</v>
      </c>
    </row>
    <row r="41" spans="1:29" ht="15">
      <c r="A41" s="603" t="s">
        <v>729</v>
      </c>
      <c r="B41" s="882"/>
      <c r="C41" s="2646" t="s">
        <v>1</v>
      </c>
      <c r="D41" s="2647"/>
      <c r="E41" s="2648"/>
      <c r="F41" s="2649"/>
      <c r="G41" s="2650"/>
      <c r="H41" s="2651"/>
      <c r="I41" s="2648"/>
      <c r="J41" s="2651"/>
      <c r="K41" s="1606"/>
      <c r="L41" s="2139"/>
      <c r="M41" s="2140"/>
      <c r="N41" s="2129"/>
      <c r="O41" s="2140"/>
      <c r="P41" s="3463" t="str">
        <f>A41</f>
        <v>成交单价（元/平方米）</v>
      </c>
      <c r="Q41" s="3463"/>
      <c r="R41" s="3542">
        <f>E41</f>
        <v>0</v>
      </c>
      <c r="S41" s="3542"/>
      <c r="T41" s="3542">
        <f>G41</f>
        <v>0</v>
      </c>
      <c r="U41" s="3542"/>
      <c r="V41" s="3542">
        <f>I41</f>
        <v>0</v>
      </c>
      <c r="W41" s="3542"/>
      <c r="X41" s="1554"/>
      <c r="Y41" s="1576"/>
      <c r="Z41" s="1554"/>
      <c r="AA41" s="1554"/>
      <c r="AB41" s="1554"/>
      <c r="AC41" s="1554"/>
    </row>
    <row r="42" spans="1:29" ht="15.75" thickBot="1">
      <c r="A42" s="611" t="s">
        <v>2759</v>
      </c>
      <c r="B42" s="883"/>
      <c r="C42" s="2652" t="e">
        <f>R43</f>
        <v>#DIV/0!</v>
      </c>
      <c r="D42" s="2653"/>
      <c r="E42" s="2654" t="e">
        <f>R42</f>
        <v>#DIV/0!</v>
      </c>
      <c r="F42" s="2654"/>
      <c r="G42" s="2652" t="e">
        <f>T42</f>
        <v>#DIV/0!</v>
      </c>
      <c r="H42" s="2653"/>
      <c r="I42" s="2654" t="e">
        <f>V42</f>
        <v>#DIV/0!</v>
      </c>
      <c r="J42" s="2653"/>
      <c r="K42" s="1607"/>
      <c r="L42" s="2139"/>
      <c r="M42" s="2140"/>
      <c r="N42" s="2129"/>
      <c r="O42" s="2140"/>
      <c r="P42" s="3463" t="str">
        <f>A42</f>
        <v>比较价格（元/平方米）</v>
      </c>
      <c r="Q42" s="3463"/>
      <c r="R42" s="3542" t="e">
        <f>IF(F1="售价",ROUND(PRODUCT(R41,AA7:AA40),0),ROUND(PRODUCT(R41,AA7:AA40),1))</f>
        <v>#DIV/0!</v>
      </c>
      <c r="S42" s="3542"/>
      <c r="T42" s="3542" t="e">
        <f>IF(F1="售价",ROUND(PRODUCT(T41,AB7:AB40),0),ROUND(PRODUCT(T41,AB7:AB40),1))</f>
        <v>#DIV/0!</v>
      </c>
      <c r="U42" s="3542"/>
      <c r="V42" s="3542" t="e">
        <f>IF(F1="售价",ROUND(PRODUCT(V41,AC7:AC40),0),ROUND(PRODUCT(V41,AC7:AC40),1))</f>
        <v>#DIV/0!</v>
      </c>
      <c r="W42" s="3542"/>
      <c r="X42" s="1554"/>
      <c r="Y42" s="1554"/>
      <c r="Z42" s="1554"/>
      <c r="AA42" s="1554"/>
      <c r="AB42" s="1554"/>
      <c r="AC42" s="1554"/>
    </row>
    <row r="43" spans="1:29" ht="15.75" thickBot="1">
      <c r="A43" s="617" t="s">
        <v>2929</v>
      </c>
      <c r="B43" s="618"/>
      <c r="C43" s="2655" t="e">
        <f>R43</f>
        <v>#DIV/0!</v>
      </c>
      <c r="D43" s="2655"/>
      <c r="E43" s="2655"/>
      <c r="F43" s="2655"/>
      <c r="G43" s="2655"/>
      <c r="H43" s="2655"/>
      <c r="I43" s="2655"/>
      <c r="J43" s="2655"/>
      <c r="K43" s="1608"/>
      <c r="L43" s="2139"/>
      <c r="M43" s="2140"/>
      <c r="N43" s="2140"/>
      <c r="O43" s="2140"/>
      <c r="P43" s="3484" t="str">
        <f>A43</f>
        <v>估价对象XX用房的比较价格（楼面单价，元/平方米）</v>
      </c>
      <c r="Q43" s="3485"/>
      <c r="R43" s="3541" t="e">
        <f>IF(F1="售价",ROUND(AVERAGE(R42:V42),0),ROUND(AVERAGE(R42:V42),1))</f>
        <v>#DIV/0!</v>
      </c>
      <c r="S43" s="3541"/>
      <c r="T43" s="3541"/>
      <c r="U43" s="3541"/>
      <c r="V43" s="3541"/>
      <c r="W43" s="3541"/>
      <c r="X43" s="1554"/>
      <c r="Y43" s="1554"/>
      <c r="Z43" s="1554"/>
      <c r="AA43" s="1554"/>
      <c r="AB43" s="1554"/>
      <c r="AC43" s="1554"/>
    </row>
    <row r="44" spans="1:29">
      <c r="A44" s="2140"/>
      <c r="B44" s="2140"/>
      <c r="C44" s="2140"/>
      <c r="D44" s="2140"/>
      <c r="E44" s="2140"/>
      <c r="F44" s="2140"/>
      <c r="G44" s="2143"/>
      <c r="H44" s="2140"/>
      <c r="I44" s="2140"/>
      <c r="J44" s="2140"/>
      <c r="K44" s="2144"/>
      <c r="L44" s="2145"/>
      <c r="M44" s="2140"/>
      <c r="N44" s="2140"/>
      <c r="O44" s="2140"/>
      <c r="P44" s="2140"/>
      <c r="Q44" s="2140"/>
      <c r="R44" s="2140"/>
      <c r="S44" s="2140"/>
      <c r="T44" s="2140"/>
      <c r="U44" s="2140"/>
      <c r="V44" s="2140"/>
      <c r="W44" s="2140"/>
      <c r="X44" s="2140"/>
      <c r="Y44" s="2140"/>
      <c r="Z44" s="2140"/>
      <c r="AA44" s="2140"/>
      <c r="AB44" s="2140"/>
      <c r="AC44" s="2140"/>
    </row>
    <row r="45" spans="1:29">
      <c r="A45" s="2140"/>
      <c r="B45" s="2140"/>
      <c r="C45" s="2140"/>
      <c r="D45" s="2140"/>
      <c r="E45" s="2140"/>
      <c r="F45" s="2140"/>
      <c r="G45" s="2140"/>
      <c r="H45" s="2140"/>
      <c r="I45" s="2140"/>
      <c r="J45" s="2140"/>
      <c r="K45" s="2144"/>
      <c r="L45" s="2145"/>
      <c r="M45" s="2140"/>
      <c r="N45" s="2140"/>
      <c r="O45" s="2140"/>
      <c r="P45" s="2140"/>
      <c r="Q45" s="2140"/>
      <c r="R45" s="2140"/>
      <c r="S45" s="2140"/>
      <c r="T45" s="2140"/>
      <c r="U45" s="2140"/>
      <c r="V45" s="2140"/>
      <c r="W45" s="2140"/>
      <c r="X45" s="2140"/>
      <c r="Y45" s="2140"/>
      <c r="Z45" s="2140"/>
      <c r="AA45" s="2140"/>
      <c r="AB45" s="2140"/>
      <c r="AC45" s="2140"/>
    </row>
    <row r="46" spans="1:29" ht="13.5" customHeight="1">
      <c r="A46" s="2140"/>
      <c r="B46" s="2140"/>
      <c r="C46" s="620" t="s">
        <v>551</v>
      </c>
      <c r="D46" s="621"/>
      <c r="E46" s="622" t="e">
        <f>IF(E41&lt;E42,E42/E41-1,E41/E42-1)</f>
        <v>#DIV/0!</v>
      </c>
      <c r="F46" s="623" t="e">
        <f>IF(OR(E46&gt;=0.3,E46&lt;=-0.3),"超过30%","")</f>
        <v>#DIV/0!</v>
      </c>
      <c r="G46" s="622" t="e">
        <f>IF(G41&lt;G42,G42/G41-1,G41/G42-1)</f>
        <v>#DIV/0!</v>
      </c>
      <c r="H46" s="623" t="e">
        <f>IF(OR(G46&gt;=0.3,G46&lt;=-0.3),"超过30%","")</f>
        <v>#DIV/0!</v>
      </c>
      <c r="I46" s="622" t="e">
        <f>IF(I41&lt;I42,I42/I41-1,I41/I42-1)</f>
        <v>#DIV/0!</v>
      </c>
      <c r="J46" s="623" t="e">
        <f>IF(OR(I46&gt;=0.3,I46&lt;=-0.3),"超过30%","")</f>
        <v>#DIV/0!</v>
      </c>
      <c r="K46" s="2144"/>
      <c r="L46" s="2145"/>
      <c r="M46" s="2140"/>
      <c r="N46" s="2140"/>
      <c r="O46" s="2140"/>
      <c r="P46" s="2140"/>
      <c r="Q46" s="2140"/>
      <c r="R46" s="2140"/>
      <c r="S46" s="2140"/>
      <c r="T46" s="2140"/>
      <c r="U46" s="2140"/>
      <c r="V46" s="2140"/>
      <c r="W46" s="2140"/>
      <c r="X46" s="2140"/>
      <c r="Y46" s="2140"/>
      <c r="Z46" s="2140"/>
      <c r="AA46" s="2140"/>
      <c r="AB46" s="2140"/>
      <c r="AC46" s="2140"/>
    </row>
    <row r="47" spans="1:29" ht="13.5" customHeight="1">
      <c r="A47" s="2140"/>
      <c r="B47" s="2140"/>
      <c r="C47" s="620" t="s">
        <v>552</v>
      </c>
      <c r="D47" s="624"/>
      <c r="E47" s="622" t="e">
        <f>IF(E42&lt;G42,G42/E42-1,E42/G42-1)</f>
        <v>#DIV/0!</v>
      </c>
      <c r="F47" s="623" t="e">
        <f>IF(OR(E47&gt;=0.2,E47&lt;=-0.2),"超过20%","")</f>
        <v>#DIV/0!</v>
      </c>
      <c r="G47" s="622" t="e">
        <f>IF(G42&lt;I42,I42/G42-1,G42/I42-1)</f>
        <v>#DIV/0!</v>
      </c>
      <c r="H47" s="623" t="e">
        <f>IF(OR(G47&gt;=0.2,G47&lt;=-0.2),"超过20%","")</f>
        <v>#DIV/0!</v>
      </c>
      <c r="I47" s="622" t="e">
        <f>IF(I42&lt;E42,E42/I42-1,I42/E42-1)</f>
        <v>#DIV/0!</v>
      </c>
      <c r="J47" s="623" t="e">
        <f>IF(OR(I47&gt;=0.2,I47&lt;=-0.2),"超过20%","")</f>
        <v>#DIV/0!</v>
      </c>
      <c r="K47" s="2144"/>
      <c r="L47" s="2145"/>
      <c r="M47" s="2140"/>
      <c r="N47" s="2140"/>
      <c r="O47" s="2140"/>
      <c r="P47" s="2140"/>
      <c r="Q47" s="2140"/>
      <c r="R47" s="2140"/>
      <c r="S47" s="2140"/>
      <c r="T47" s="2140"/>
      <c r="U47" s="2140"/>
      <c r="V47" s="2140"/>
      <c r="W47" s="2140"/>
      <c r="X47" s="2140"/>
      <c r="Y47" s="2140"/>
      <c r="Z47" s="2140"/>
      <c r="AA47" s="2140"/>
      <c r="AB47" s="2140"/>
      <c r="AC47" s="2140"/>
    </row>
    <row r="48" spans="1:29" s="1340" customFormat="1" ht="13.5" customHeight="1">
      <c r="A48" s="2141"/>
      <c r="B48" s="2141"/>
      <c r="C48" s="620" t="s">
        <v>553</v>
      </c>
      <c r="D48" s="624"/>
      <c r="E48" s="622" t="e">
        <f>IF(E41&lt;G41,G41/E41-1,E41/G41-1)</f>
        <v>#DIV/0!</v>
      </c>
      <c r="F48" s="623" t="e">
        <f>IF(OR(E48&gt;=0.3,E48&lt;=-0.3),"超过30%","")</f>
        <v>#DIV/0!</v>
      </c>
      <c r="G48" s="622" t="e">
        <f>IF(G41&lt;I41,I41/G41-1,G41/I41-1)</f>
        <v>#DIV/0!</v>
      </c>
      <c r="H48" s="623" t="e">
        <f>IF(OR(G48&gt;=0.3,G48&lt;=-0.3),"超过30%","")</f>
        <v>#DIV/0!</v>
      </c>
      <c r="I48" s="622" t="e">
        <f>IF(I41&lt;E41,E41/I41-1,I41/E41-1)</f>
        <v>#DIV/0!</v>
      </c>
      <c r="J48" s="623" t="e">
        <f>IF(OR(I48&gt;=0.3,I48&lt;=-0.3),"超过30%","")</f>
        <v>#DIV/0!</v>
      </c>
      <c r="K48" s="2147"/>
      <c r="L48" s="2148"/>
      <c r="M48" s="2141"/>
      <c r="N48" s="2141"/>
      <c r="O48" s="2141"/>
      <c r="P48" s="2141"/>
      <c r="Q48" s="2141"/>
      <c r="R48" s="2141"/>
      <c r="S48" s="2141"/>
      <c r="T48" s="2141"/>
      <c r="U48" s="2141"/>
      <c r="V48" s="2141"/>
      <c r="W48" s="2141"/>
      <c r="X48" s="2141"/>
      <c r="Y48" s="2141"/>
      <c r="Z48" s="2141"/>
      <c r="AA48" s="2141"/>
      <c r="AB48" s="2141"/>
      <c r="AC48" s="2141"/>
    </row>
    <row r="49" spans="1:29" s="1340" customFormat="1">
      <c r="A49" s="2141"/>
      <c r="B49" s="2142"/>
      <c r="C49" s="2146"/>
      <c r="D49" s="2141"/>
      <c r="E49" s="2141"/>
      <c r="F49" s="2141"/>
      <c r="G49" s="2141"/>
      <c r="H49" s="2141"/>
      <c r="I49" s="2141"/>
      <c r="J49" s="2141"/>
      <c r="K49" s="2147"/>
      <c r="L49" s="2148"/>
      <c r="M49" s="2141"/>
      <c r="N49" s="2141"/>
      <c r="O49" s="2141"/>
      <c r="P49" s="2141"/>
      <c r="Q49" s="2141"/>
      <c r="R49" s="2141"/>
      <c r="S49" s="2141"/>
      <c r="T49" s="2141"/>
      <c r="U49" s="2141"/>
      <c r="V49" s="2141"/>
      <c r="W49" s="2141"/>
      <c r="X49" s="2141"/>
      <c r="Y49" s="2141"/>
      <c r="Z49" s="2141"/>
      <c r="AA49" s="2141"/>
      <c r="AB49" s="2141"/>
      <c r="AC49" s="2141"/>
    </row>
    <row r="50" spans="1:29">
      <c r="A50" s="2140"/>
      <c r="B50" s="2142"/>
      <c r="C50" s="2146"/>
      <c r="D50" s="2140"/>
      <c r="E50" s="2140"/>
      <c r="F50" s="2140"/>
      <c r="G50" s="2140"/>
      <c r="H50" s="2140"/>
      <c r="I50" s="2140"/>
      <c r="J50" s="2140"/>
      <c r="K50" s="2144"/>
      <c r="L50" s="2145"/>
      <c r="M50" s="2140"/>
      <c r="N50" s="2140"/>
      <c r="O50" s="2140"/>
      <c r="P50" s="2140"/>
      <c r="Q50" s="2140"/>
      <c r="R50" s="2140"/>
      <c r="S50" s="2140"/>
      <c r="T50" s="2140"/>
      <c r="U50" s="2140"/>
      <c r="V50" s="2140"/>
      <c r="W50" s="2140"/>
      <c r="X50" s="2140"/>
      <c r="Y50" s="2140"/>
      <c r="Z50" s="2140"/>
      <c r="AA50" s="2140"/>
      <c r="AB50" s="2140"/>
      <c r="AC50" s="2140"/>
    </row>
    <row r="51" spans="1:29" ht="21.75" thickBot="1">
      <c r="A51" s="1579" t="s">
        <v>568</v>
      </c>
      <c r="B51" s="1554"/>
      <c r="C51" s="1578"/>
      <c r="D51" s="1578"/>
      <c r="E51" s="1578"/>
      <c r="F51" s="1580"/>
      <c r="G51" s="1580"/>
      <c r="H51" s="1578"/>
      <c r="I51" s="1578"/>
      <c r="J51" s="1578"/>
      <c r="K51" s="1581"/>
      <c r="L51" s="1577"/>
      <c r="M51" s="1578"/>
      <c r="N51" s="1578"/>
      <c r="O51" s="1578"/>
      <c r="P51" s="2152"/>
      <c r="Q51" s="2153"/>
      <c r="R51" s="2140"/>
      <c r="S51" s="2140"/>
      <c r="T51" s="2140"/>
      <c r="U51" s="2140"/>
      <c r="V51" s="2140"/>
      <c r="W51" s="2140"/>
      <c r="X51" s="2140"/>
      <c r="Y51" s="2140"/>
      <c r="Z51" s="2140"/>
      <c r="AA51" s="2140"/>
      <c r="AB51" s="2140"/>
      <c r="AC51" s="2140"/>
    </row>
    <row r="52" spans="1:29" s="1342" customFormat="1" ht="15">
      <c r="A52" s="641" t="s">
        <v>523</v>
      </c>
      <c r="B52" s="642"/>
      <c r="C52" s="2823" t="str">
        <f>YEAR(C7)&amp;"-"&amp;MONTH(C7)</f>
        <v>2017-10</v>
      </c>
      <c r="D52" s="2825">
        <f>EDATE(C52,-1)</f>
        <v>42979</v>
      </c>
      <c r="E52" s="2825">
        <f t="shared" ref="E52:O52" si="16">EDATE(D52,-1)</f>
        <v>42948</v>
      </c>
      <c r="F52" s="2825">
        <f t="shared" si="16"/>
        <v>42917</v>
      </c>
      <c r="G52" s="2825">
        <f t="shared" si="16"/>
        <v>42887</v>
      </c>
      <c r="H52" s="2825">
        <f t="shared" si="16"/>
        <v>42856</v>
      </c>
      <c r="I52" s="2825">
        <f t="shared" si="16"/>
        <v>42826</v>
      </c>
      <c r="J52" s="2825">
        <f t="shared" si="16"/>
        <v>42795</v>
      </c>
      <c r="K52" s="2825">
        <f t="shared" si="16"/>
        <v>42767</v>
      </c>
      <c r="L52" s="2825">
        <f t="shared" si="16"/>
        <v>42736</v>
      </c>
      <c r="M52" s="2825">
        <f t="shared" si="16"/>
        <v>42705</v>
      </c>
      <c r="N52" s="2825">
        <f t="shared" si="16"/>
        <v>42675</v>
      </c>
      <c r="O52" s="2825">
        <f t="shared" si="16"/>
        <v>42644</v>
      </c>
      <c r="P52" s="2155"/>
      <c r="Q52" s="2156"/>
      <c r="R52" s="2156"/>
      <c r="S52" s="2156"/>
      <c r="T52" s="2156"/>
      <c r="U52" s="2156"/>
      <c r="V52" s="2156"/>
      <c r="W52" s="2156"/>
      <c r="X52" s="2156"/>
      <c r="Y52" s="2156"/>
      <c r="Z52" s="2156"/>
      <c r="AA52" s="2156"/>
      <c r="AB52" s="2156"/>
      <c r="AC52" s="2156"/>
    </row>
    <row r="53" spans="1:29" s="1215" customFormat="1" ht="15">
      <c r="A53" s="643"/>
      <c r="B53" s="644"/>
      <c r="C53" s="645">
        <v>100</v>
      </c>
      <c r="D53" s="646"/>
      <c r="E53" s="646"/>
      <c r="F53" s="646"/>
      <c r="G53" s="646"/>
      <c r="H53" s="646"/>
      <c r="I53" s="646"/>
      <c r="J53" s="646"/>
      <c r="K53" s="646"/>
      <c r="L53" s="646"/>
      <c r="M53" s="647"/>
      <c r="N53" s="646"/>
      <c r="O53" s="648"/>
      <c r="P53" s="2153"/>
      <c r="Q53" s="1988"/>
      <c r="R53" s="1988"/>
      <c r="S53" s="1988"/>
      <c r="T53" s="1988"/>
      <c r="U53" s="1988"/>
      <c r="V53" s="1988"/>
      <c r="W53" s="1988"/>
      <c r="X53" s="1988"/>
      <c r="Y53" s="1988"/>
      <c r="Z53" s="1988"/>
      <c r="AA53" s="1988"/>
      <c r="AB53" s="1988"/>
      <c r="AC53" s="1988"/>
    </row>
    <row r="54" spans="1:29" s="1215" customFormat="1" ht="15.75" thickBot="1">
      <c r="A54" s="649" t="s">
        <v>569</v>
      </c>
      <c r="B54" s="650"/>
      <c r="C54" s="651"/>
      <c r="D54" s="652"/>
      <c r="E54" s="652"/>
      <c r="F54" s="652"/>
      <c r="G54" s="652"/>
      <c r="H54" s="652"/>
      <c r="I54" s="652"/>
      <c r="J54" s="652"/>
      <c r="K54" s="652"/>
      <c r="L54" s="652"/>
      <c r="M54" s="653"/>
      <c r="N54" s="652"/>
      <c r="O54" s="654"/>
      <c r="P54" s="2153"/>
      <c r="Q54" s="2153"/>
      <c r="R54" s="1988"/>
      <c r="S54" s="1988"/>
      <c r="T54" s="1988"/>
      <c r="U54" s="1988"/>
      <c r="V54" s="1988"/>
      <c r="W54" s="1988"/>
      <c r="X54" s="1988"/>
      <c r="Y54" s="1988"/>
      <c r="Z54" s="1988"/>
      <c r="AA54" s="1988"/>
      <c r="AB54" s="1988"/>
      <c r="AC54" s="1988"/>
    </row>
    <row r="55" spans="1:29" s="1215" customFormat="1" ht="15">
      <c r="A55" s="655" t="s">
        <v>525</v>
      </c>
      <c r="B55" s="644"/>
      <c r="C55" s="656" t="s">
        <v>570</v>
      </c>
      <c r="D55" s="657"/>
      <c r="E55" s="657"/>
      <c r="F55" s="657"/>
      <c r="G55" s="657"/>
      <c r="H55" s="657"/>
      <c r="I55" s="657"/>
      <c r="J55" s="657"/>
      <c r="K55" s="657"/>
      <c r="L55" s="658"/>
      <c r="M55" s="659"/>
      <c r="N55" s="2157"/>
      <c r="O55" s="2157"/>
      <c r="P55" s="2158"/>
      <c r="Q55" s="2153"/>
      <c r="R55" s="1988"/>
      <c r="S55" s="1988"/>
      <c r="T55" s="1988"/>
      <c r="U55" s="1988"/>
      <c r="V55" s="1988"/>
      <c r="W55" s="1988"/>
      <c r="X55" s="1988"/>
      <c r="Y55" s="1988"/>
      <c r="Z55" s="1988"/>
      <c r="AA55" s="1988"/>
      <c r="AB55" s="1988"/>
      <c r="AC55" s="1988"/>
    </row>
    <row r="56" spans="1:29" s="1215" customFormat="1" ht="15.75" thickBot="1">
      <c r="A56" s="655"/>
      <c r="B56" s="644"/>
      <c r="C56" s="645">
        <v>100</v>
      </c>
      <c r="D56" s="646"/>
      <c r="E56" s="646"/>
      <c r="F56" s="646"/>
      <c r="G56" s="646"/>
      <c r="H56" s="646"/>
      <c r="I56" s="646"/>
      <c r="J56" s="646"/>
      <c r="K56" s="646"/>
      <c r="L56" s="646"/>
      <c r="M56" s="648"/>
      <c r="N56" s="2157"/>
      <c r="O56" s="2157"/>
      <c r="P56" s="2153"/>
      <c r="Q56" s="2153"/>
      <c r="R56" s="1988"/>
      <c r="S56" s="1988"/>
      <c r="T56" s="1988"/>
      <c r="U56" s="1988"/>
      <c r="V56" s="1988"/>
      <c r="W56" s="1988"/>
      <c r="X56" s="1988"/>
      <c r="Y56" s="1988"/>
      <c r="Z56" s="1988"/>
      <c r="AA56" s="1988"/>
      <c r="AB56" s="1988"/>
      <c r="AC56" s="1988"/>
    </row>
    <row r="57" spans="1:29">
      <c r="A57" s="660" t="s">
        <v>571</v>
      </c>
      <c r="B57" s="661" t="s">
        <v>528</v>
      </c>
      <c r="C57" s="700">
        <f>C9</f>
        <v>0</v>
      </c>
      <c r="D57" s="594"/>
      <c r="E57" s="594"/>
      <c r="F57" s="594"/>
      <c r="G57" s="594"/>
      <c r="H57" s="594"/>
      <c r="I57" s="594"/>
      <c r="J57" s="594"/>
      <c r="K57" s="662"/>
      <c r="L57" s="663"/>
      <c r="M57" s="664"/>
      <c r="N57" s="2159"/>
      <c r="O57" s="2159"/>
      <c r="P57" s="2160"/>
      <c r="Q57" s="2153"/>
      <c r="R57" s="2140"/>
      <c r="S57" s="2140"/>
      <c r="T57" s="2140"/>
      <c r="U57" s="2140"/>
      <c r="V57" s="2140"/>
      <c r="W57" s="2140"/>
      <c r="X57" s="2140"/>
      <c r="Y57" s="2140"/>
      <c r="Z57" s="2140"/>
      <c r="AA57" s="2140"/>
      <c r="AB57" s="2140"/>
      <c r="AC57" s="2140"/>
    </row>
    <row r="58" spans="1:29" ht="15.75" thickBot="1">
      <c r="A58" s="665"/>
      <c r="B58" s="666"/>
      <c r="C58" s="667"/>
      <c r="D58" s="667"/>
      <c r="E58" s="667"/>
      <c r="F58" s="667"/>
      <c r="G58" s="667"/>
      <c r="H58" s="667"/>
      <c r="I58" s="667"/>
      <c r="J58" s="667"/>
      <c r="K58" s="667"/>
      <c r="L58" s="667"/>
      <c r="M58" s="668"/>
      <c r="N58" s="2161"/>
      <c r="O58" s="2161"/>
      <c r="P58" s="2160"/>
      <c r="Q58" s="2153"/>
      <c r="R58" s="2140"/>
      <c r="S58" s="2140"/>
      <c r="T58" s="2140"/>
      <c r="U58" s="2140"/>
      <c r="V58" s="2140"/>
      <c r="W58" s="2140"/>
      <c r="X58" s="2140"/>
      <c r="Y58" s="2140"/>
      <c r="Z58" s="2140"/>
      <c r="AA58" s="2140"/>
      <c r="AB58" s="2140"/>
      <c r="AC58" s="2140"/>
    </row>
    <row r="59" spans="1:29" ht="27.75" thickTop="1">
      <c r="A59" s="665"/>
      <c r="B59" s="669" t="s">
        <v>531</v>
      </c>
      <c r="C59" s="670" t="s">
        <v>730</v>
      </c>
      <c r="D59" s="670" t="s">
        <v>731</v>
      </c>
      <c r="E59" s="670" t="s">
        <v>732</v>
      </c>
      <c r="F59" s="670" t="s">
        <v>733</v>
      </c>
      <c r="G59" s="670" t="s">
        <v>734</v>
      </c>
      <c r="H59" s="670" t="s">
        <v>735</v>
      </c>
      <c r="I59" s="670" t="s">
        <v>736</v>
      </c>
      <c r="J59" s="670"/>
      <c r="K59" s="671"/>
      <c r="L59" s="672"/>
      <c r="M59" s="673"/>
      <c r="N59" s="2159"/>
      <c r="O59" s="2159"/>
      <c r="P59" s="2160"/>
      <c r="Q59" s="2153"/>
      <c r="R59" s="2140"/>
      <c r="S59" s="2140"/>
      <c r="T59" s="2140"/>
      <c r="U59" s="2140"/>
      <c r="V59" s="2140"/>
      <c r="W59" s="2140"/>
      <c r="X59" s="2140"/>
      <c r="Y59" s="2140"/>
      <c r="Z59" s="2140"/>
      <c r="AA59" s="2140"/>
      <c r="AB59" s="2140"/>
      <c r="AC59" s="2140"/>
    </row>
    <row r="60" spans="1:29" ht="15.75" thickBot="1">
      <c r="A60" s="665"/>
      <c r="B60" s="674"/>
      <c r="C60" s="675" t="s">
        <v>14</v>
      </c>
      <c r="D60" s="675" t="s">
        <v>15</v>
      </c>
      <c r="E60" s="675">
        <v>100</v>
      </c>
      <c r="F60" s="675">
        <f>E60-$K10</f>
        <v>100</v>
      </c>
      <c r="G60" s="675">
        <f>F60-$K10</f>
        <v>100</v>
      </c>
      <c r="H60" s="675">
        <f>G60-$K10</f>
        <v>100</v>
      </c>
      <c r="I60" s="675">
        <f>H60-$K10</f>
        <v>100</v>
      </c>
      <c r="J60" s="675"/>
      <c r="K60" s="675"/>
      <c r="L60" s="675"/>
      <c r="M60" s="676"/>
      <c r="N60" s="2161"/>
      <c r="O60" s="2161"/>
      <c r="P60" s="2160"/>
      <c r="Q60" s="2153"/>
      <c r="R60" s="2140"/>
      <c r="S60" s="2140"/>
      <c r="T60" s="2140"/>
      <c r="U60" s="2140"/>
      <c r="V60" s="2140"/>
      <c r="W60" s="2140"/>
      <c r="X60" s="2140"/>
      <c r="Y60" s="2140"/>
      <c r="Z60" s="2140"/>
      <c r="AA60" s="2140"/>
      <c r="AB60" s="2140"/>
      <c r="AC60" s="2140"/>
    </row>
    <row r="61" spans="1:29" ht="15.75" thickTop="1">
      <c r="A61" s="665"/>
      <c r="B61" s="677" t="s">
        <v>532</v>
      </c>
      <c r="C61" s="678" t="str">
        <f>C62&amp;"（含）"&amp;"-"&amp;D62</f>
        <v>（含）-</v>
      </c>
      <c r="D61" s="678" t="str">
        <f t="shared" ref="D61:L61" si="17">D62&amp;"（含）"&amp;"-"&amp;E62</f>
        <v>（含）-</v>
      </c>
      <c r="E61" s="678" t="str">
        <f t="shared" si="17"/>
        <v>（含）-</v>
      </c>
      <c r="F61" s="678" t="str">
        <f t="shared" si="17"/>
        <v>（含）-</v>
      </c>
      <c r="G61" s="678" t="str">
        <f t="shared" si="17"/>
        <v>（含）-</v>
      </c>
      <c r="H61" s="678" t="str">
        <f t="shared" si="17"/>
        <v>（含）-</v>
      </c>
      <c r="I61" s="678" t="str">
        <f t="shared" si="17"/>
        <v>（含）-</v>
      </c>
      <c r="J61" s="678" t="str">
        <f t="shared" si="17"/>
        <v>（含）-</v>
      </c>
      <c r="K61" s="678" t="str">
        <f t="shared" si="17"/>
        <v>（含）-</v>
      </c>
      <c r="L61" s="678" t="str">
        <f t="shared" si="17"/>
        <v>（含）-</v>
      </c>
      <c r="M61" s="551" t="str">
        <f>M62&amp;"（含）"&amp;"-"&amp;P62</f>
        <v>（含）-</v>
      </c>
      <c r="N61" s="2161"/>
      <c r="O61" s="2161"/>
      <c r="P61" s="2160"/>
      <c r="Q61" s="2153"/>
      <c r="R61" s="2140"/>
      <c r="S61" s="2140"/>
      <c r="T61" s="2140"/>
      <c r="U61" s="2140"/>
      <c r="V61" s="2140"/>
      <c r="W61" s="2140"/>
      <c r="X61" s="2140"/>
      <c r="Y61" s="2140"/>
      <c r="Z61" s="2140"/>
      <c r="AA61" s="2140"/>
      <c r="AB61" s="2140"/>
      <c r="AC61" s="2140"/>
    </row>
    <row r="62" spans="1:29" ht="15">
      <c r="A62" s="665"/>
      <c r="B62" s="679"/>
      <c r="C62" s="537"/>
      <c r="D62" s="537"/>
      <c r="E62" s="537"/>
      <c r="F62" s="537"/>
      <c r="G62" s="537"/>
      <c r="H62" s="537"/>
      <c r="I62" s="537"/>
      <c r="J62" s="537"/>
      <c r="K62" s="680"/>
      <c r="L62" s="681"/>
      <c r="M62" s="682"/>
      <c r="N62" s="2159"/>
      <c r="O62" s="2159"/>
      <c r="P62" s="2160"/>
      <c r="Q62" s="2153"/>
      <c r="R62" s="2140"/>
      <c r="S62" s="2140"/>
      <c r="T62" s="2140"/>
      <c r="U62" s="2140"/>
      <c r="V62" s="2140"/>
      <c r="W62" s="2140"/>
      <c r="X62" s="2140"/>
      <c r="Y62" s="2140"/>
      <c r="Z62" s="2140"/>
      <c r="AA62" s="2140"/>
      <c r="AB62" s="2140"/>
      <c r="AC62" s="2140"/>
    </row>
    <row r="63" spans="1:29" ht="15.75" thickBot="1">
      <c r="A63" s="665"/>
      <c r="B63" s="666"/>
      <c r="C63" s="675">
        <v>100</v>
      </c>
      <c r="D63" s="675">
        <f t="shared" ref="D63:M63" si="18">C63-$K11</f>
        <v>100</v>
      </c>
      <c r="E63" s="675">
        <f t="shared" si="18"/>
        <v>100</v>
      </c>
      <c r="F63" s="675">
        <f t="shared" si="18"/>
        <v>100</v>
      </c>
      <c r="G63" s="675">
        <f t="shared" si="18"/>
        <v>100</v>
      </c>
      <c r="H63" s="675">
        <f t="shared" si="18"/>
        <v>100</v>
      </c>
      <c r="I63" s="675">
        <f t="shared" si="18"/>
        <v>100</v>
      </c>
      <c r="J63" s="675">
        <f t="shared" si="18"/>
        <v>100</v>
      </c>
      <c r="K63" s="675">
        <f t="shared" si="18"/>
        <v>100</v>
      </c>
      <c r="L63" s="675">
        <f t="shared" si="18"/>
        <v>100</v>
      </c>
      <c r="M63" s="676">
        <f t="shared" si="18"/>
        <v>100</v>
      </c>
      <c r="N63" s="2161"/>
      <c r="O63" s="2161"/>
      <c r="P63" s="2160"/>
      <c r="Q63" s="2153"/>
      <c r="R63" s="2140"/>
      <c r="S63" s="2140"/>
      <c r="T63" s="2140"/>
      <c r="U63" s="2140"/>
      <c r="V63" s="2140"/>
      <c r="W63" s="2140"/>
      <c r="X63" s="2140"/>
      <c r="Y63" s="2140"/>
      <c r="Z63" s="2140"/>
      <c r="AA63" s="2140"/>
      <c r="AB63" s="2140"/>
      <c r="AC63" s="2140"/>
    </row>
    <row r="64" spans="1:29" s="1334" customFormat="1" ht="15.75" thickTop="1">
      <c r="A64" s="683"/>
      <c r="B64" s="669">
        <f>B12</f>
        <v>111</v>
      </c>
      <c r="C64" s="684"/>
      <c r="D64" s="684"/>
      <c r="E64" s="684"/>
      <c r="F64" s="684"/>
      <c r="G64" s="684"/>
      <c r="H64" s="685"/>
      <c r="I64" s="685"/>
      <c r="J64" s="685"/>
      <c r="K64" s="685"/>
      <c r="L64" s="686"/>
      <c r="M64" s="687"/>
      <c r="N64" s="2162"/>
      <c r="O64" s="2162"/>
      <c r="P64" s="2163"/>
      <c r="Q64" s="2164"/>
      <c r="R64" s="2165"/>
      <c r="S64" s="2165"/>
      <c r="T64" s="2165"/>
      <c r="U64" s="2165"/>
      <c r="V64" s="2165"/>
      <c r="W64" s="2165"/>
      <c r="X64" s="2165"/>
      <c r="Y64" s="2165"/>
      <c r="Z64" s="2165"/>
      <c r="AA64" s="2165"/>
      <c r="AB64" s="2165"/>
      <c r="AC64" s="2165"/>
    </row>
    <row r="65" spans="1:29" s="1334" customFormat="1" ht="15.75" thickBot="1">
      <c r="A65" s="683"/>
      <c r="B65" s="674"/>
      <c r="C65" s="688"/>
      <c r="D65" s="667"/>
      <c r="E65" s="667"/>
      <c r="F65" s="667"/>
      <c r="G65" s="667"/>
      <c r="H65" s="667"/>
      <c r="I65" s="667"/>
      <c r="J65" s="667"/>
      <c r="K65" s="667"/>
      <c r="L65" s="667"/>
      <c r="M65" s="668"/>
      <c r="N65" s="2161"/>
      <c r="O65" s="2161"/>
      <c r="P65" s="2163"/>
      <c r="Q65" s="2164"/>
      <c r="R65" s="2165"/>
      <c r="S65" s="2165"/>
      <c r="T65" s="2165"/>
      <c r="U65" s="2165"/>
      <c r="V65" s="2165"/>
      <c r="W65" s="2165"/>
      <c r="X65" s="2165"/>
      <c r="Y65" s="2165"/>
      <c r="Z65" s="2165"/>
      <c r="AA65" s="2165"/>
      <c r="AB65" s="2165"/>
      <c r="AC65" s="2165"/>
    </row>
    <row r="66" spans="1:29" s="1334" customFormat="1" ht="15.75" thickTop="1">
      <c r="A66" s="683"/>
      <c r="B66" s="669">
        <f>B13</f>
        <v>111</v>
      </c>
      <c r="C66" s="684"/>
      <c r="D66" s="684"/>
      <c r="E66" s="684"/>
      <c r="F66" s="684"/>
      <c r="G66" s="684"/>
      <c r="H66" s="685"/>
      <c r="I66" s="685"/>
      <c r="J66" s="685"/>
      <c r="K66" s="685"/>
      <c r="L66" s="686"/>
      <c r="M66" s="687"/>
      <c r="N66" s="2162"/>
      <c r="O66" s="2162"/>
      <c r="P66" s="2166"/>
      <c r="Q66" s="2167"/>
      <c r="R66" s="2165"/>
      <c r="S66" s="2165"/>
      <c r="T66" s="2165"/>
      <c r="U66" s="2165"/>
      <c r="V66" s="2165"/>
      <c r="W66" s="2165"/>
      <c r="X66" s="2165"/>
      <c r="Y66" s="2165"/>
      <c r="Z66" s="2165"/>
      <c r="AA66" s="2165"/>
      <c r="AB66" s="2165"/>
      <c r="AC66" s="2165"/>
    </row>
    <row r="67" spans="1:29" s="1334" customFormat="1" ht="15.75" thickBot="1">
      <c r="A67" s="683"/>
      <c r="B67" s="674"/>
      <c r="C67" s="688"/>
      <c r="D67" s="667"/>
      <c r="E67" s="667"/>
      <c r="F67" s="667"/>
      <c r="G67" s="688"/>
      <c r="H67" s="689"/>
      <c r="I67" s="689"/>
      <c r="J67" s="689"/>
      <c r="K67" s="689"/>
      <c r="L67" s="689"/>
      <c r="M67" s="690"/>
      <c r="N67" s="2162"/>
      <c r="O67" s="2162"/>
      <c r="P67" s="2163"/>
      <c r="Q67" s="2164"/>
      <c r="R67" s="2165"/>
      <c r="S67" s="2165"/>
      <c r="T67" s="2165"/>
      <c r="U67" s="2165"/>
      <c r="V67" s="2165"/>
      <c r="W67" s="2165"/>
      <c r="X67" s="2165"/>
      <c r="Y67" s="2165"/>
      <c r="Z67" s="2165"/>
      <c r="AA67" s="2165"/>
      <c r="AB67" s="2165"/>
      <c r="AC67" s="2165"/>
    </row>
    <row r="68" spans="1:29" s="1334" customFormat="1" ht="15.75" thickTop="1">
      <c r="A68" s="683"/>
      <c r="B68" s="677">
        <f>B14</f>
        <v>111</v>
      </c>
      <c r="C68" s="657"/>
      <c r="D68" s="657"/>
      <c r="E68" s="657"/>
      <c r="F68" s="657"/>
      <c r="G68" s="657"/>
      <c r="H68" s="691"/>
      <c r="I68" s="691"/>
      <c r="J68" s="691"/>
      <c r="K68" s="691"/>
      <c r="L68" s="692"/>
      <c r="M68" s="693"/>
      <c r="N68" s="2162"/>
      <c r="O68" s="2162"/>
      <c r="P68" s="2168"/>
      <c r="Q68" s="2164"/>
      <c r="R68" s="2165"/>
      <c r="S68" s="2165"/>
      <c r="T68" s="2165"/>
      <c r="U68" s="2165"/>
      <c r="V68" s="2165"/>
      <c r="W68" s="2165"/>
      <c r="X68" s="2165"/>
      <c r="Y68" s="2165"/>
      <c r="Z68" s="2165"/>
      <c r="AA68" s="2165"/>
      <c r="AB68" s="2165"/>
      <c r="AC68" s="2165"/>
    </row>
    <row r="69" spans="1:29" s="1334" customFormat="1" ht="15.75" thickBot="1">
      <c r="A69" s="694"/>
      <c r="B69" s="695"/>
      <c r="C69" s="696"/>
      <c r="D69" s="696"/>
      <c r="E69" s="696"/>
      <c r="F69" s="696"/>
      <c r="G69" s="696"/>
      <c r="H69" s="697"/>
      <c r="I69" s="697"/>
      <c r="J69" s="697"/>
      <c r="K69" s="697"/>
      <c r="L69" s="697"/>
      <c r="M69" s="698"/>
      <c r="N69" s="2162"/>
      <c r="O69" s="2162"/>
      <c r="P69" s="2163"/>
      <c r="Q69" s="2164"/>
      <c r="R69" s="2165"/>
      <c r="S69" s="2165"/>
      <c r="T69" s="2165"/>
      <c r="U69" s="2165"/>
      <c r="V69" s="2165"/>
      <c r="W69" s="2165"/>
      <c r="X69" s="2165"/>
      <c r="Y69" s="2165"/>
      <c r="Z69" s="2165"/>
      <c r="AA69" s="2165"/>
      <c r="AB69" s="2165"/>
      <c r="AC69" s="2165"/>
    </row>
    <row r="70" spans="1:29">
      <c r="A70" s="660" t="s">
        <v>533</v>
      </c>
      <c r="B70" s="661" t="s">
        <v>579</v>
      </c>
      <c r="C70" s="699" t="s">
        <v>573</v>
      </c>
      <c r="D70" s="699" t="s">
        <v>574</v>
      </c>
      <c r="E70" s="699" t="s">
        <v>575</v>
      </c>
      <c r="F70" s="699" t="s">
        <v>576</v>
      </c>
      <c r="G70" s="699" t="s">
        <v>577</v>
      </c>
      <c r="H70" s="700"/>
      <c r="I70" s="700"/>
      <c r="J70" s="700"/>
      <c r="K70" s="701"/>
      <c r="L70" s="702"/>
      <c r="M70" s="703"/>
      <c r="N70" s="2159"/>
      <c r="O70" s="2159"/>
      <c r="P70" s="2169"/>
      <c r="Q70" s="2153"/>
      <c r="R70" s="2140"/>
      <c r="S70" s="2140"/>
      <c r="T70" s="2140"/>
      <c r="U70" s="2140"/>
      <c r="V70" s="2140"/>
      <c r="W70" s="2140"/>
      <c r="X70" s="2140"/>
      <c r="Y70" s="2140"/>
      <c r="Z70" s="2140"/>
      <c r="AA70" s="2140"/>
      <c r="AB70" s="2140"/>
      <c r="AC70" s="2140"/>
    </row>
    <row r="71" spans="1:29" ht="15.75" thickBot="1">
      <c r="A71" s="665"/>
      <c r="B71" s="674"/>
      <c r="C71" s="675">
        <v>100</v>
      </c>
      <c r="D71" s="675">
        <f>C71-$K15</f>
        <v>100</v>
      </c>
      <c r="E71" s="675">
        <f>D71-$K15</f>
        <v>100</v>
      </c>
      <c r="F71" s="675">
        <f>E71-$K15</f>
        <v>100</v>
      </c>
      <c r="G71" s="675">
        <f>F71-$K15</f>
        <v>100</v>
      </c>
      <c r="H71" s="675"/>
      <c r="I71" s="675"/>
      <c r="J71" s="675"/>
      <c r="K71" s="675"/>
      <c r="L71" s="675"/>
      <c r="M71" s="676"/>
      <c r="N71" s="2161"/>
      <c r="O71" s="2161"/>
      <c r="P71" s="2160"/>
      <c r="Q71" s="2153"/>
      <c r="R71" s="2140"/>
      <c r="S71" s="2140"/>
      <c r="T71" s="2140"/>
      <c r="U71" s="2140"/>
      <c r="V71" s="2140"/>
      <c r="W71" s="2140"/>
      <c r="X71" s="2140"/>
      <c r="Y71" s="2140"/>
      <c r="Z71" s="2140"/>
      <c r="AA71" s="2140"/>
      <c r="AB71" s="2140"/>
      <c r="AC71" s="2140"/>
    </row>
    <row r="72" spans="1:29" ht="15.75" thickTop="1">
      <c r="A72" s="665"/>
      <c r="B72" s="669" t="s">
        <v>580</v>
      </c>
      <c r="C72" s="704" t="s">
        <v>573</v>
      </c>
      <c r="D72" s="704" t="s">
        <v>574</v>
      </c>
      <c r="E72" s="704" t="s">
        <v>575</v>
      </c>
      <c r="F72" s="704" t="s">
        <v>576</v>
      </c>
      <c r="G72" s="704" t="s">
        <v>577</v>
      </c>
      <c r="H72" s="670"/>
      <c r="I72" s="670"/>
      <c r="J72" s="670"/>
      <c r="K72" s="671"/>
      <c r="L72" s="672"/>
      <c r="M72" s="673"/>
      <c r="N72" s="2159"/>
      <c r="O72" s="2159"/>
      <c r="P72" s="2160"/>
      <c r="Q72" s="2153"/>
      <c r="R72" s="2140"/>
      <c r="S72" s="2140"/>
      <c r="T72" s="2140"/>
      <c r="U72" s="2140"/>
      <c r="V72" s="2140"/>
      <c r="W72" s="2140"/>
      <c r="X72" s="2140"/>
      <c r="Y72" s="2140"/>
      <c r="Z72" s="2140"/>
      <c r="AA72" s="2140"/>
      <c r="AB72" s="2140"/>
      <c r="AC72" s="2140"/>
    </row>
    <row r="73" spans="1:29" ht="15.75" thickBot="1">
      <c r="A73" s="665"/>
      <c r="B73" s="674"/>
      <c r="C73" s="675">
        <v>100</v>
      </c>
      <c r="D73" s="675">
        <f>C73-$K17</f>
        <v>100</v>
      </c>
      <c r="E73" s="675">
        <f>D73-$K17</f>
        <v>100</v>
      </c>
      <c r="F73" s="675">
        <f>E73-$K17</f>
        <v>100</v>
      </c>
      <c r="G73" s="675">
        <f>F73-$K17</f>
        <v>100</v>
      </c>
      <c r="H73" s="675"/>
      <c r="I73" s="675"/>
      <c r="J73" s="675"/>
      <c r="K73" s="675"/>
      <c r="L73" s="675"/>
      <c r="M73" s="676"/>
      <c r="N73" s="2161"/>
      <c r="O73" s="2161"/>
      <c r="P73" s="2160"/>
      <c r="Q73" s="2153"/>
      <c r="R73" s="2140"/>
      <c r="S73" s="2140"/>
      <c r="T73" s="2140"/>
      <c r="U73" s="2140"/>
      <c r="V73" s="2140"/>
      <c r="W73" s="2140"/>
      <c r="X73" s="2140"/>
      <c r="Y73" s="2140"/>
      <c r="Z73" s="2140"/>
      <c r="AA73" s="2140"/>
      <c r="AB73" s="2140"/>
      <c r="AC73" s="2140"/>
    </row>
    <row r="74" spans="1:29" ht="15.75" thickTop="1">
      <c r="A74" s="665"/>
      <c r="B74" s="1891" t="s">
        <v>2554</v>
      </c>
      <c r="C74" s="704" t="s">
        <v>573</v>
      </c>
      <c r="D74" s="704" t="s">
        <v>574</v>
      </c>
      <c r="E74" s="704" t="s">
        <v>575</v>
      </c>
      <c r="F74" s="704" t="s">
        <v>576</v>
      </c>
      <c r="G74" s="704" t="s">
        <v>577</v>
      </c>
      <c r="H74" s="670"/>
      <c r="I74" s="670"/>
      <c r="J74" s="670"/>
      <c r="K74" s="671"/>
      <c r="L74" s="672"/>
      <c r="M74" s="673"/>
      <c r="N74" s="2159"/>
      <c r="O74" s="2159"/>
      <c r="P74" s="2160"/>
      <c r="Q74" s="2153"/>
      <c r="R74" s="2140"/>
      <c r="S74" s="2140"/>
      <c r="T74" s="2140"/>
      <c r="U74" s="2140"/>
      <c r="V74" s="2140"/>
      <c r="W74" s="2140"/>
      <c r="X74" s="2140"/>
      <c r="Y74" s="2140"/>
      <c r="Z74" s="2140"/>
      <c r="AA74" s="2140"/>
      <c r="AB74" s="2140"/>
      <c r="AC74" s="2140"/>
    </row>
    <row r="75" spans="1:29" ht="15.75" thickBot="1">
      <c r="A75" s="665"/>
      <c r="B75" s="674"/>
      <c r="C75" s="675">
        <v>100</v>
      </c>
      <c r="D75" s="675">
        <f>C75-$K19</f>
        <v>100</v>
      </c>
      <c r="E75" s="675">
        <f>D75-$K19</f>
        <v>100</v>
      </c>
      <c r="F75" s="675">
        <f>E75-$K19</f>
        <v>100</v>
      </c>
      <c r="G75" s="675">
        <f>F75-$K19</f>
        <v>100</v>
      </c>
      <c r="H75" s="675"/>
      <c r="I75" s="675"/>
      <c r="J75" s="675"/>
      <c r="K75" s="675"/>
      <c r="L75" s="675"/>
      <c r="M75" s="676"/>
      <c r="N75" s="2161"/>
      <c r="O75" s="2161"/>
      <c r="P75" s="2160"/>
      <c r="Q75" s="2153"/>
      <c r="R75" s="2140"/>
      <c r="S75" s="2140"/>
      <c r="T75" s="2140"/>
      <c r="U75" s="2140"/>
      <c r="V75" s="2140"/>
      <c r="W75" s="2140"/>
      <c r="X75" s="2140"/>
      <c r="Y75" s="2140"/>
      <c r="Z75" s="2140"/>
      <c r="AA75" s="2140"/>
      <c r="AB75" s="2140"/>
      <c r="AC75" s="2140"/>
    </row>
    <row r="76" spans="1:29" ht="15.75" thickTop="1">
      <c r="A76" s="665"/>
      <c r="B76" s="2616" t="s">
        <v>2555</v>
      </c>
      <c r="C76" s="2617" t="s">
        <v>2556</v>
      </c>
      <c r="D76" s="2617" t="s">
        <v>2557</v>
      </c>
      <c r="E76" s="2617" t="s">
        <v>2558</v>
      </c>
      <c r="F76" s="2617" t="s">
        <v>2559</v>
      </c>
      <c r="G76" s="2617" t="s">
        <v>2560</v>
      </c>
      <c r="H76" s="930"/>
      <c r="I76" s="930"/>
      <c r="J76" s="930"/>
      <c r="K76" s="930"/>
      <c r="L76" s="930"/>
      <c r="M76" s="555"/>
      <c r="N76" s="2161"/>
      <c r="O76" s="2161"/>
      <c r="P76" s="2160"/>
      <c r="Q76" s="2153"/>
      <c r="R76" s="2140"/>
      <c r="S76" s="2140"/>
      <c r="T76" s="2140"/>
      <c r="U76" s="2140"/>
      <c r="V76" s="2140"/>
      <c r="W76" s="2140"/>
      <c r="X76" s="2140"/>
      <c r="Y76" s="2140"/>
      <c r="Z76" s="2140"/>
      <c r="AA76" s="2140"/>
      <c r="AB76" s="2140"/>
      <c r="AC76" s="2140"/>
    </row>
    <row r="77" spans="1:29" ht="15.75" thickBot="1">
      <c r="A77" s="665"/>
      <c r="B77" s="677"/>
      <c r="C77" s="675">
        <v>100</v>
      </c>
      <c r="D77" s="675">
        <f>C77-$K21</f>
        <v>100</v>
      </c>
      <c r="E77" s="675">
        <f>D77-$K21</f>
        <v>100</v>
      </c>
      <c r="F77" s="675">
        <f>E77-$K21</f>
        <v>100</v>
      </c>
      <c r="G77" s="675">
        <f>F77-$K21</f>
        <v>100</v>
      </c>
      <c r="H77" s="675"/>
      <c r="I77" s="675"/>
      <c r="J77" s="675"/>
      <c r="K77" s="675"/>
      <c r="L77" s="675"/>
      <c r="M77" s="676"/>
      <c r="N77" s="2161"/>
      <c r="O77" s="2161"/>
      <c r="P77" s="2160"/>
      <c r="Q77" s="2153"/>
      <c r="R77" s="2140"/>
      <c r="S77" s="2140"/>
      <c r="T77" s="2140"/>
      <c r="U77" s="2140"/>
      <c r="V77" s="2140"/>
      <c r="W77" s="2140"/>
      <c r="X77" s="2140"/>
      <c r="Y77" s="2140"/>
      <c r="Z77" s="2140"/>
      <c r="AA77" s="2140"/>
      <c r="AB77" s="2140"/>
      <c r="AC77" s="2140"/>
    </row>
    <row r="78" spans="1:29" ht="15.75" thickTop="1">
      <c r="A78" s="665"/>
      <c r="B78" s="669" t="s">
        <v>777</v>
      </c>
      <c r="C78" s="704" t="s">
        <v>573</v>
      </c>
      <c r="D78" s="704" t="s">
        <v>574</v>
      </c>
      <c r="E78" s="704" t="s">
        <v>575</v>
      </c>
      <c r="F78" s="704" t="s">
        <v>576</v>
      </c>
      <c r="G78" s="704" t="s">
        <v>577</v>
      </c>
      <c r="H78" s="670"/>
      <c r="I78" s="670"/>
      <c r="J78" s="670"/>
      <c r="K78" s="671"/>
      <c r="L78" s="672"/>
      <c r="M78" s="673"/>
      <c r="N78" s="2159"/>
      <c r="O78" s="2159"/>
      <c r="P78" s="2160"/>
      <c r="Q78" s="2153"/>
      <c r="R78" s="2140"/>
      <c r="S78" s="2140"/>
      <c r="T78" s="2140"/>
      <c r="U78" s="2140"/>
      <c r="V78" s="2140"/>
      <c r="W78" s="2140"/>
      <c r="X78" s="2140"/>
      <c r="Y78" s="2140"/>
      <c r="Z78" s="2140"/>
      <c r="AA78" s="2140"/>
      <c r="AB78" s="2140"/>
      <c r="AC78" s="2140"/>
    </row>
    <row r="79" spans="1:29" ht="15.75" thickBot="1">
      <c r="A79" s="665"/>
      <c r="B79" s="674"/>
      <c r="C79" s="675">
        <v>100</v>
      </c>
      <c r="D79" s="675">
        <f>C79-$K23</f>
        <v>100</v>
      </c>
      <c r="E79" s="675">
        <f>D79-$K23</f>
        <v>100</v>
      </c>
      <c r="F79" s="675">
        <f>E79-$K23</f>
        <v>100</v>
      </c>
      <c r="G79" s="675">
        <f>F79-$K23</f>
        <v>100</v>
      </c>
      <c r="H79" s="675"/>
      <c r="I79" s="675"/>
      <c r="J79" s="675"/>
      <c r="K79" s="675"/>
      <c r="L79" s="675"/>
      <c r="M79" s="676"/>
      <c r="N79" s="2161"/>
      <c r="O79" s="2161"/>
      <c r="P79" s="2160"/>
      <c r="Q79" s="2153"/>
      <c r="R79" s="2140"/>
      <c r="S79" s="2140"/>
      <c r="T79" s="2140"/>
      <c r="U79" s="2140"/>
      <c r="V79" s="2140"/>
      <c r="W79" s="2140"/>
      <c r="X79" s="2140"/>
      <c r="Y79" s="2140"/>
      <c r="Z79" s="2140"/>
      <c r="AA79" s="2140"/>
      <c r="AB79" s="2140"/>
      <c r="AC79" s="2140"/>
    </row>
    <row r="80" spans="1:29" s="1215" customFormat="1" ht="15.75" thickTop="1">
      <c r="A80" s="705"/>
      <c r="B80" s="669">
        <f>B25</f>
        <v>111</v>
      </c>
      <c r="C80" s="684"/>
      <c r="D80" s="684"/>
      <c r="E80" s="684"/>
      <c r="F80" s="684"/>
      <c r="G80" s="684"/>
      <c r="H80" s="684"/>
      <c r="I80" s="684"/>
      <c r="J80" s="684"/>
      <c r="K80" s="684"/>
      <c r="L80" s="885"/>
      <c r="M80" s="886"/>
      <c r="N80" s="2157"/>
      <c r="O80" s="2157"/>
      <c r="P80" s="2160"/>
      <c r="Q80" s="2153"/>
      <c r="R80" s="1988"/>
      <c r="S80" s="1988"/>
      <c r="T80" s="1988"/>
      <c r="U80" s="1988"/>
      <c r="V80" s="1988"/>
      <c r="W80" s="1988"/>
      <c r="X80" s="1988"/>
      <c r="Y80" s="1988"/>
      <c r="Z80" s="1988"/>
      <c r="AA80" s="1988"/>
      <c r="AB80" s="1988"/>
      <c r="AC80" s="1988"/>
    </row>
    <row r="81" spans="1:29" s="1215" customFormat="1" ht="15.75" thickBot="1">
      <c r="A81" s="705"/>
      <c r="B81" s="674"/>
      <c r="C81" s="688"/>
      <c r="D81" s="667"/>
      <c r="E81" s="667"/>
      <c r="F81" s="667"/>
      <c r="G81" s="667"/>
      <c r="H81" s="667"/>
      <c r="I81" s="667"/>
      <c r="J81" s="667"/>
      <c r="K81" s="667"/>
      <c r="L81" s="667"/>
      <c r="M81" s="668"/>
      <c r="N81" s="2161"/>
      <c r="O81" s="2161"/>
      <c r="P81" s="2160"/>
      <c r="Q81" s="2153"/>
      <c r="R81" s="1988"/>
      <c r="S81" s="1988"/>
      <c r="T81" s="1988"/>
      <c r="U81" s="1988"/>
      <c r="V81" s="1988"/>
      <c r="W81" s="1988"/>
      <c r="X81" s="1988"/>
      <c r="Y81" s="1988"/>
      <c r="Z81" s="1988"/>
      <c r="AA81" s="1988"/>
      <c r="AB81" s="1988"/>
      <c r="AC81" s="1988"/>
    </row>
    <row r="82" spans="1:29" s="1215" customFormat="1" ht="15.75" thickTop="1">
      <c r="A82" s="705"/>
      <c r="B82" s="669">
        <f>B26</f>
        <v>111</v>
      </c>
      <c r="C82" s="684"/>
      <c r="D82" s="684"/>
      <c r="E82" s="684"/>
      <c r="F82" s="684"/>
      <c r="G82" s="684"/>
      <c r="H82" s="684"/>
      <c r="I82" s="684"/>
      <c r="J82" s="684"/>
      <c r="K82" s="684"/>
      <c r="L82" s="885"/>
      <c r="M82" s="886"/>
      <c r="N82" s="2157"/>
      <c r="O82" s="2157"/>
      <c r="P82" s="2160"/>
      <c r="Q82" s="2153"/>
      <c r="R82" s="1988"/>
      <c r="S82" s="1988"/>
      <c r="T82" s="1988"/>
      <c r="U82" s="1988"/>
      <c r="V82" s="1988"/>
      <c r="W82" s="1988"/>
      <c r="X82" s="1988"/>
      <c r="Y82" s="1988"/>
      <c r="Z82" s="1988"/>
      <c r="AA82" s="1988"/>
      <c r="AB82" s="1988"/>
      <c r="AC82" s="1988"/>
    </row>
    <row r="83" spans="1:29" s="1215" customFormat="1" ht="15.75" thickBot="1">
      <c r="A83" s="705"/>
      <c r="B83" s="674"/>
      <c r="C83" s="688"/>
      <c r="D83" s="667"/>
      <c r="E83" s="667"/>
      <c r="F83" s="667"/>
      <c r="G83" s="667"/>
      <c r="H83" s="667"/>
      <c r="I83" s="667"/>
      <c r="J83" s="667"/>
      <c r="K83" s="667"/>
      <c r="L83" s="667"/>
      <c r="M83" s="668"/>
      <c r="N83" s="2161"/>
      <c r="O83" s="2161"/>
      <c r="P83" s="2160"/>
      <c r="Q83" s="2153"/>
      <c r="R83" s="1988"/>
      <c r="S83" s="1988"/>
      <c r="T83" s="1988"/>
      <c r="U83" s="1988"/>
      <c r="V83" s="1988"/>
      <c r="W83" s="1988"/>
      <c r="X83" s="1988"/>
      <c r="Y83" s="1988"/>
      <c r="Z83" s="1988"/>
      <c r="AA83" s="1988"/>
      <c r="AB83" s="1988"/>
      <c r="AC83" s="1988"/>
    </row>
    <row r="84" spans="1:29" s="1334" customFormat="1" ht="15.75" thickTop="1">
      <c r="A84" s="683"/>
      <c r="B84" s="669">
        <f>B27</f>
        <v>111</v>
      </c>
      <c r="C84" s="684"/>
      <c r="D84" s="684"/>
      <c r="E84" s="684"/>
      <c r="F84" s="684"/>
      <c r="G84" s="684"/>
      <c r="H84" s="684"/>
      <c r="I84" s="684"/>
      <c r="J84" s="684"/>
      <c r="K84" s="684"/>
      <c r="L84" s="885"/>
      <c r="M84" s="886"/>
      <c r="N84" s="2162"/>
      <c r="O84" s="2162"/>
      <c r="P84" s="2163"/>
      <c r="Q84" s="2164"/>
      <c r="R84" s="2165"/>
      <c r="S84" s="2165"/>
      <c r="T84" s="2165"/>
      <c r="U84" s="2165"/>
      <c r="V84" s="2165"/>
      <c r="W84" s="2165"/>
      <c r="X84" s="2165"/>
      <c r="Y84" s="2165"/>
      <c r="Z84" s="2165"/>
      <c r="AA84" s="2165"/>
      <c r="AB84" s="2165"/>
      <c r="AC84" s="2165"/>
    </row>
    <row r="85" spans="1:29" s="1334" customFormat="1" ht="15.75" thickBot="1">
      <c r="A85" s="683"/>
      <c r="B85" s="674"/>
      <c r="C85" s="688"/>
      <c r="D85" s="667"/>
      <c r="E85" s="667"/>
      <c r="F85" s="667"/>
      <c r="G85" s="667"/>
      <c r="H85" s="667"/>
      <c r="I85" s="667"/>
      <c r="J85" s="667"/>
      <c r="K85" s="667"/>
      <c r="L85" s="667"/>
      <c r="M85" s="668"/>
      <c r="N85" s="2162"/>
      <c r="O85" s="2162"/>
      <c r="P85" s="2163"/>
      <c r="Q85" s="2164"/>
      <c r="R85" s="2165"/>
      <c r="S85" s="2165"/>
      <c r="T85" s="2165"/>
      <c r="U85" s="2165"/>
      <c r="V85" s="2165"/>
      <c r="W85" s="2165"/>
      <c r="X85" s="2165"/>
      <c r="Y85" s="2165"/>
      <c r="Z85" s="2165"/>
      <c r="AA85" s="2165"/>
      <c r="AB85" s="2165"/>
      <c r="AC85" s="2165"/>
    </row>
    <row r="86" spans="1:29" ht="15.75" thickTop="1">
      <c r="A86" s="665"/>
      <c r="B86" s="677">
        <f>B28</f>
        <v>111</v>
      </c>
      <c r="C86" s="657"/>
      <c r="D86" s="657"/>
      <c r="E86" s="657"/>
      <c r="F86" s="657"/>
      <c r="G86" s="718"/>
      <c r="H86" s="718"/>
      <c r="I86" s="718"/>
      <c r="J86" s="718"/>
      <c r="K86" s="719"/>
      <c r="L86" s="720"/>
      <c r="M86" s="721"/>
      <c r="N86" s="2159"/>
      <c r="O86" s="2159"/>
      <c r="P86" s="2160"/>
      <c r="Q86" s="2153"/>
      <c r="R86" s="2140"/>
      <c r="S86" s="2140"/>
      <c r="T86" s="2140"/>
      <c r="U86" s="2140"/>
      <c r="V86" s="2140"/>
      <c r="W86" s="2140"/>
      <c r="X86" s="2140"/>
      <c r="Y86" s="2140"/>
      <c r="Z86" s="2140"/>
      <c r="AA86" s="2140"/>
      <c r="AB86" s="2140"/>
      <c r="AC86" s="2140"/>
    </row>
    <row r="87" spans="1:29" ht="15.75" thickBot="1">
      <c r="A87" s="888"/>
      <c r="B87" s="695"/>
      <c r="C87" s="696"/>
      <c r="D87" s="696"/>
      <c r="E87" s="696"/>
      <c r="F87" s="696"/>
      <c r="G87" s="722"/>
      <c r="H87" s="722"/>
      <c r="I87" s="722"/>
      <c r="J87" s="722"/>
      <c r="K87" s="722"/>
      <c r="L87" s="722"/>
      <c r="M87" s="723"/>
      <c r="N87" s="2161"/>
      <c r="O87" s="2161"/>
      <c r="P87" s="2160"/>
      <c r="Q87" s="2153"/>
      <c r="R87" s="2140"/>
      <c r="S87" s="2140"/>
      <c r="T87" s="2140"/>
      <c r="U87" s="2140"/>
      <c r="V87" s="2140"/>
      <c r="W87" s="2140"/>
      <c r="X87" s="2140"/>
      <c r="Y87" s="2140"/>
      <c r="Z87" s="2140"/>
      <c r="AA87" s="2140"/>
      <c r="AB87" s="2140"/>
      <c r="AC87" s="2140"/>
    </row>
    <row r="88" spans="1:29">
      <c r="A88" s="660" t="s">
        <v>545</v>
      </c>
      <c r="B88" s="661" t="s">
        <v>740</v>
      </c>
      <c r="C88" s="594"/>
      <c r="D88" s="594"/>
      <c r="E88" s="594"/>
      <c r="F88" s="594"/>
      <c r="G88" s="594"/>
      <c r="H88" s="594"/>
      <c r="I88" s="594"/>
      <c r="J88" s="594"/>
      <c r="K88" s="662"/>
      <c r="L88" s="663"/>
      <c r="M88" s="664"/>
      <c r="N88" s="2159"/>
      <c r="O88" s="2159"/>
      <c r="P88" s="2160"/>
      <c r="Q88" s="2153"/>
      <c r="R88" s="2140"/>
      <c r="S88" s="2140"/>
      <c r="T88" s="2140"/>
      <c r="U88" s="2140"/>
      <c r="V88" s="2140"/>
      <c r="W88" s="2140"/>
      <c r="X88" s="2140"/>
      <c r="Y88" s="2140"/>
      <c r="Z88" s="2140"/>
      <c r="AA88" s="2140"/>
      <c r="AB88" s="2140"/>
      <c r="AC88" s="2140"/>
    </row>
    <row r="89" spans="1:29" ht="15.75" thickBot="1">
      <c r="A89" s="665"/>
      <c r="B89" s="674"/>
      <c r="C89" s="675">
        <v>100</v>
      </c>
      <c r="D89" s="675">
        <f t="shared" ref="D89:M89" si="19">C89-$K29</f>
        <v>100</v>
      </c>
      <c r="E89" s="675">
        <f t="shared" si="19"/>
        <v>100</v>
      </c>
      <c r="F89" s="675">
        <f t="shared" si="19"/>
        <v>100</v>
      </c>
      <c r="G89" s="675">
        <f t="shared" si="19"/>
        <v>100</v>
      </c>
      <c r="H89" s="675">
        <f t="shared" si="19"/>
        <v>100</v>
      </c>
      <c r="I89" s="675">
        <f t="shared" si="19"/>
        <v>100</v>
      </c>
      <c r="J89" s="675">
        <f t="shared" si="19"/>
        <v>100</v>
      </c>
      <c r="K89" s="675">
        <f t="shared" si="19"/>
        <v>100</v>
      </c>
      <c r="L89" s="675">
        <f t="shared" si="19"/>
        <v>100</v>
      </c>
      <c r="M89" s="676">
        <f t="shared" si="19"/>
        <v>100</v>
      </c>
      <c r="N89" s="2161"/>
      <c r="O89" s="2161"/>
      <c r="P89" s="2160"/>
      <c r="Q89" s="2153"/>
      <c r="R89" s="2140"/>
      <c r="S89" s="2140"/>
      <c r="T89" s="2140"/>
      <c r="U89" s="2140"/>
      <c r="V89" s="2140"/>
      <c r="W89" s="2140"/>
      <c r="X89" s="2140"/>
      <c r="Y89" s="2140"/>
      <c r="Z89" s="2140"/>
      <c r="AA89" s="2140"/>
      <c r="AB89" s="2140"/>
      <c r="AC89" s="2140"/>
    </row>
    <row r="90" spans="1:29" ht="15.75" thickTop="1">
      <c r="A90" s="665"/>
      <c r="B90" s="669" t="s">
        <v>741</v>
      </c>
      <c r="C90" s="704" t="str">
        <f>C91&amp;"(含)"&amp;"-"&amp;D91</f>
        <v>(含)-</v>
      </c>
      <c r="D90" s="704" t="str">
        <f t="shared" ref="D90:L90" si="20">D91&amp;"(含)"&amp;"-"&amp;E91</f>
        <v>(含)-</v>
      </c>
      <c r="E90" s="704" t="str">
        <f t="shared" si="20"/>
        <v>(含)-</v>
      </c>
      <c r="F90" s="704" t="str">
        <f t="shared" si="20"/>
        <v>(含)-</v>
      </c>
      <c r="G90" s="704" t="str">
        <f t="shared" si="20"/>
        <v>(含)-</v>
      </c>
      <c r="H90" s="704" t="str">
        <f t="shared" si="20"/>
        <v>(含)-</v>
      </c>
      <c r="I90" s="704" t="str">
        <f t="shared" si="20"/>
        <v>(含)-</v>
      </c>
      <c r="J90" s="704" t="str">
        <f t="shared" si="20"/>
        <v>(含)-</v>
      </c>
      <c r="K90" s="704" t="str">
        <f t="shared" si="20"/>
        <v>(含)-</v>
      </c>
      <c r="L90" s="704" t="str">
        <f t="shared" si="20"/>
        <v>(含)-</v>
      </c>
      <c r="M90" s="707" t="str">
        <f>M91&amp;"(含)"&amp;"-"&amp;P91</f>
        <v>(含)-</v>
      </c>
      <c r="N90" s="2157"/>
      <c r="O90" s="2157"/>
      <c r="P90" s="2160"/>
      <c r="Q90" s="2153"/>
      <c r="R90" s="2140"/>
      <c r="S90" s="2140"/>
      <c r="T90" s="2140"/>
      <c r="U90" s="2140"/>
      <c r="V90" s="2140"/>
      <c r="W90" s="2140"/>
      <c r="X90" s="2140"/>
      <c r="Y90" s="2140"/>
      <c r="Z90" s="2140"/>
      <c r="AA90" s="2140"/>
      <c r="AB90" s="2140"/>
      <c r="AC90" s="2140"/>
    </row>
    <row r="91" spans="1:29" s="1334" customFormat="1">
      <c r="A91" s="724"/>
      <c r="B91" s="725"/>
      <c r="C91" s="726"/>
      <c r="D91" s="726"/>
      <c r="E91" s="726"/>
      <c r="F91" s="726"/>
      <c r="G91" s="726"/>
      <c r="H91" s="726"/>
      <c r="I91" s="726"/>
      <c r="J91" s="727"/>
      <c r="K91" s="727"/>
      <c r="L91" s="728"/>
      <c r="M91" s="729"/>
      <c r="N91" s="2162"/>
      <c r="O91" s="2162"/>
      <c r="P91" s="2163"/>
      <c r="Q91" s="2164"/>
      <c r="R91" s="2165"/>
      <c r="S91" s="2165"/>
      <c r="T91" s="2165"/>
      <c r="U91" s="2165"/>
      <c r="V91" s="2165"/>
      <c r="W91" s="2165"/>
      <c r="X91" s="2165"/>
      <c r="Y91" s="2165"/>
      <c r="Z91" s="2165"/>
      <c r="AA91" s="2165"/>
      <c r="AB91" s="2165"/>
      <c r="AC91" s="2165"/>
    </row>
    <row r="92" spans="1:29" s="1334" customFormat="1" ht="15.75" thickBot="1">
      <c r="A92" s="683"/>
      <c r="B92" s="674"/>
      <c r="C92" s="688"/>
      <c r="D92" s="667"/>
      <c r="E92" s="667"/>
      <c r="F92" s="667"/>
      <c r="G92" s="667"/>
      <c r="H92" s="667"/>
      <c r="I92" s="667"/>
      <c r="J92" s="667"/>
      <c r="K92" s="667"/>
      <c r="L92" s="667"/>
      <c r="M92" s="668"/>
      <c r="N92" s="2161"/>
      <c r="O92" s="2161"/>
      <c r="P92" s="2163"/>
      <c r="Q92" s="2164"/>
      <c r="R92" s="2165"/>
      <c r="S92" s="2165"/>
      <c r="T92" s="2165"/>
      <c r="U92" s="2165"/>
      <c r="V92" s="2165"/>
      <c r="W92" s="2165"/>
      <c r="X92" s="2165"/>
      <c r="Y92" s="2165"/>
      <c r="Z92" s="2165"/>
      <c r="AA92" s="2165"/>
      <c r="AB92" s="2165"/>
      <c r="AC92" s="2165"/>
    </row>
    <row r="93" spans="1:29" ht="15" thickTop="1">
      <c r="A93" s="731"/>
      <c r="B93" s="669" t="s">
        <v>742</v>
      </c>
      <c r="C93" s="684"/>
      <c r="D93" s="684"/>
      <c r="E93" s="714"/>
      <c r="F93" s="714"/>
      <c r="G93" s="714"/>
      <c r="H93" s="714"/>
      <c r="I93" s="714"/>
      <c r="J93" s="714"/>
      <c r="K93" s="715"/>
      <c r="L93" s="716"/>
      <c r="M93" s="717"/>
      <c r="N93" s="2159"/>
      <c r="O93" s="2159"/>
      <c r="P93" s="2160"/>
      <c r="Q93" s="2153"/>
      <c r="R93" s="2140"/>
      <c r="S93" s="2140"/>
      <c r="T93" s="2140"/>
      <c r="U93" s="2140"/>
      <c r="V93" s="2140"/>
      <c r="W93" s="2140"/>
      <c r="X93" s="2140"/>
      <c r="Y93" s="2140"/>
      <c r="Z93" s="2140"/>
      <c r="AA93" s="2140"/>
      <c r="AB93" s="2140"/>
      <c r="AC93" s="2140"/>
    </row>
    <row r="94" spans="1:29" ht="15.75" thickBot="1">
      <c r="A94" s="665"/>
      <c r="B94" s="674"/>
      <c r="C94" s="675">
        <v>100</v>
      </c>
      <c r="D94" s="675">
        <f t="shared" ref="D94:M94" si="21">C94-$K31</f>
        <v>100</v>
      </c>
      <c r="E94" s="675">
        <f t="shared" si="21"/>
        <v>100</v>
      </c>
      <c r="F94" s="675">
        <f t="shared" si="21"/>
        <v>100</v>
      </c>
      <c r="G94" s="675">
        <f t="shared" si="21"/>
        <v>100</v>
      </c>
      <c r="H94" s="675">
        <f t="shared" si="21"/>
        <v>100</v>
      </c>
      <c r="I94" s="675">
        <f t="shared" si="21"/>
        <v>100</v>
      </c>
      <c r="J94" s="675">
        <f t="shared" si="21"/>
        <v>100</v>
      </c>
      <c r="K94" s="675">
        <f t="shared" si="21"/>
        <v>100</v>
      </c>
      <c r="L94" s="675">
        <f t="shared" si="21"/>
        <v>100</v>
      </c>
      <c r="M94" s="676">
        <f t="shared" si="21"/>
        <v>100</v>
      </c>
      <c r="N94" s="2161"/>
      <c r="O94" s="2161"/>
      <c r="P94" s="2160"/>
      <c r="Q94" s="2153"/>
      <c r="R94" s="2140"/>
      <c r="S94" s="2140"/>
      <c r="T94" s="2140"/>
      <c r="U94" s="2140"/>
      <c r="V94" s="2140"/>
      <c r="W94" s="2140"/>
      <c r="X94" s="2140"/>
      <c r="Y94" s="2140"/>
      <c r="Z94" s="2140"/>
      <c r="AA94" s="2140"/>
      <c r="AB94" s="2140"/>
      <c r="AC94" s="2140"/>
    </row>
    <row r="95" spans="1:29" ht="15" thickTop="1">
      <c r="A95" s="731"/>
      <c r="B95" s="669" t="s">
        <v>744</v>
      </c>
      <c r="C95" s="684"/>
      <c r="D95" s="684"/>
      <c r="E95" s="684"/>
      <c r="F95" s="714"/>
      <c r="G95" s="714"/>
      <c r="H95" s="714"/>
      <c r="I95" s="714"/>
      <c r="J95" s="714"/>
      <c r="K95" s="715"/>
      <c r="L95" s="716"/>
      <c r="M95" s="717"/>
      <c r="N95" s="2159"/>
      <c r="O95" s="2159"/>
      <c r="P95" s="2160"/>
      <c r="Q95" s="2153"/>
      <c r="R95" s="2140"/>
      <c r="S95" s="2140"/>
      <c r="T95" s="2140"/>
      <c r="U95" s="2140"/>
      <c r="V95" s="2140"/>
      <c r="W95" s="2140"/>
      <c r="X95" s="2140"/>
      <c r="Y95" s="2140"/>
      <c r="Z95" s="2140"/>
      <c r="AA95" s="2140"/>
      <c r="AB95" s="2140"/>
      <c r="AC95" s="2140"/>
    </row>
    <row r="96" spans="1:29" ht="15.75" thickBot="1">
      <c r="A96" s="665"/>
      <c r="B96" s="674"/>
      <c r="C96" s="675">
        <v>100</v>
      </c>
      <c r="D96" s="675">
        <f t="shared" ref="D96:M96" si="22">C96-$K32</f>
        <v>100</v>
      </c>
      <c r="E96" s="675">
        <f t="shared" si="22"/>
        <v>100</v>
      </c>
      <c r="F96" s="675">
        <f t="shared" si="22"/>
        <v>100</v>
      </c>
      <c r="G96" s="675">
        <f t="shared" si="22"/>
        <v>100</v>
      </c>
      <c r="H96" s="675">
        <f t="shared" si="22"/>
        <v>100</v>
      </c>
      <c r="I96" s="675">
        <f t="shared" si="22"/>
        <v>100</v>
      </c>
      <c r="J96" s="675">
        <f t="shared" si="22"/>
        <v>100</v>
      </c>
      <c r="K96" s="675">
        <f t="shared" si="22"/>
        <v>100</v>
      </c>
      <c r="L96" s="675">
        <f t="shared" si="22"/>
        <v>100</v>
      </c>
      <c r="M96" s="676">
        <f t="shared" si="22"/>
        <v>100</v>
      </c>
      <c r="N96" s="2161"/>
      <c r="O96" s="2161"/>
      <c r="P96" s="2160"/>
      <c r="Q96" s="2153"/>
      <c r="R96" s="2140"/>
      <c r="S96" s="2140"/>
      <c r="T96" s="2140"/>
      <c r="U96" s="2140"/>
      <c r="V96" s="2140"/>
      <c r="W96" s="2140"/>
      <c r="X96" s="2140"/>
      <c r="Y96" s="2140"/>
      <c r="Z96" s="2140"/>
      <c r="AA96" s="2140"/>
      <c r="AB96" s="2140"/>
      <c r="AC96" s="2140"/>
    </row>
    <row r="97" spans="1:29" ht="15" thickTop="1">
      <c r="A97" s="731"/>
      <c r="B97" s="669" t="s">
        <v>745</v>
      </c>
      <c r="C97" s="704" t="str">
        <f>C98&amp;"(含)"&amp;"-"&amp;D98</f>
        <v>0.5(含)-0.6</v>
      </c>
      <c r="D97" s="704" t="str">
        <f>D98&amp;"(含)"&amp;"-"&amp;E98</f>
        <v>0.6(含)-0.7</v>
      </c>
      <c r="E97" s="704" t="str">
        <f>E98&amp;"(含)"&amp;"-"&amp;F98</f>
        <v>0.7(含)-0.8</v>
      </c>
      <c r="F97" s="704" t="str">
        <f>F98&amp;"(含)"&amp;"-"&amp;G98</f>
        <v>0.8(含)-0.9</v>
      </c>
      <c r="G97" s="704" t="str">
        <f>G98&amp;"(含)"&amp;"-"&amp;ROUND(H98,0)</f>
        <v>0.9(含)-1</v>
      </c>
      <c r="H97" s="704"/>
      <c r="I97" s="714"/>
      <c r="J97" s="714"/>
      <c r="K97" s="715"/>
      <c r="L97" s="716"/>
      <c r="M97" s="717"/>
      <c r="N97" s="2159"/>
      <c r="O97" s="2159"/>
      <c r="P97" s="2160"/>
      <c r="Q97" s="2153"/>
      <c r="R97" s="2140"/>
      <c r="S97" s="2140"/>
      <c r="T97" s="2140"/>
      <c r="U97" s="2140"/>
      <c r="V97" s="2140"/>
      <c r="W97" s="2140"/>
      <c r="X97" s="2140"/>
      <c r="Y97" s="2140"/>
      <c r="Z97" s="2140"/>
      <c r="AA97" s="2140"/>
      <c r="AB97" s="2140"/>
      <c r="AC97" s="2140"/>
    </row>
    <row r="98" spans="1:29">
      <c r="A98" s="731"/>
      <c r="B98" s="677"/>
      <c r="C98" s="889">
        <v>0.5</v>
      </c>
      <c r="D98" s="889">
        <v>0.6</v>
      </c>
      <c r="E98" s="889">
        <v>0.7</v>
      </c>
      <c r="F98" s="889">
        <v>0.8</v>
      </c>
      <c r="G98" s="889">
        <v>0.9</v>
      </c>
      <c r="H98" s="889">
        <v>1.0001</v>
      </c>
      <c r="I98" s="900"/>
      <c r="J98" s="900"/>
      <c r="K98" s="901"/>
      <c r="L98" s="902"/>
      <c r="M98" s="903"/>
      <c r="N98" s="2159"/>
      <c r="O98" s="2159"/>
      <c r="P98" s="2160"/>
      <c r="Q98" s="2153"/>
      <c r="R98" s="2140"/>
      <c r="S98" s="2140"/>
      <c r="T98" s="2140"/>
      <c r="U98" s="2140"/>
      <c r="V98" s="2140"/>
      <c r="W98" s="2140"/>
      <c r="X98" s="2140"/>
      <c r="Y98" s="2140"/>
      <c r="Z98" s="2140"/>
      <c r="AA98" s="2140"/>
      <c r="AB98" s="2140"/>
      <c r="AC98" s="2140"/>
    </row>
    <row r="99" spans="1:29" ht="15.75" thickBot="1">
      <c r="A99" s="665"/>
      <c r="B99" s="674"/>
      <c r="C99" s="708">
        <v>100</v>
      </c>
      <c r="D99" s="675">
        <f>C99+$K33</f>
        <v>100</v>
      </c>
      <c r="E99" s="675">
        <f t="shared" ref="E99:M99" si="23">D99+$K33</f>
        <v>100</v>
      </c>
      <c r="F99" s="675">
        <f t="shared" si="23"/>
        <v>100</v>
      </c>
      <c r="G99" s="675">
        <f t="shared" si="23"/>
        <v>100</v>
      </c>
      <c r="H99" s="675">
        <f t="shared" si="23"/>
        <v>100</v>
      </c>
      <c r="I99" s="675">
        <f t="shared" si="23"/>
        <v>100</v>
      </c>
      <c r="J99" s="675">
        <f t="shared" si="23"/>
        <v>100</v>
      </c>
      <c r="K99" s="675">
        <f t="shared" si="23"/>
        <v>100</v>
      </c>
      <c r="L99" s="675">
        <f t="shared" si="23"/>
        <v>100</v>
      </c>
      <c r="M99" s="675">
        <f t="shared" si="23"/>
        <v>100</v>
      </c>
      <c r="N99" s="2161"/>
      <c r="O99" s="2161"/>
      <c r="P99" s="2160"/>
      <c r="Q99" s="2153"/>
      <c r="R99" s="2140"/>
      <c r="S99" s="2140"/>
      <c r="T99" s="2140"/>
      <c r="U99" s="2140"/>
      <c r="V99" s="2140"/>
      <c r="W99" s="2140"/>
      <c r="X99" s="2140"/>
      <c r="Y99" s="2140"/>
      <c r="Z99" s="2140"/>
      <c r="AA99" s="2140"/>
      <c r="AB99" s="2140"/>
      <c r="AC99" s="2140"/>
    </row>
    <row r="100" spans="1:29" s="1334" customFormat="1" ht="15" thickTop="1">
      <c r="A100" s="724"/>
      <c r="B100" s="669" t="s">
        <v>746</v>
      </c>
      <c r="C100" s="684"/>
      <c r="D100" s="684"/>
      <c r="E100" s="684"/>
      <c r="F100" s="684"/>
      <c r="G100" s="684"/>
      <c r="H100" s="714"/>
      <c r="I100" s="714"/>
      <c r="J100" s="714"/>
      <c r="K100" s="715"/>
      <c r="L100" s="716"/>
      <c r="M100" s="717"/>
      <c r="N100" s="2162"/>
      <c r="O100" s="2162"/>
      <c r="P100" s="2163"/>
      <c r="Q100" s="2164"/>
      <c r="R100" s="2165"/>
      <c r="S100" s="2165"/>
      <c r="T100" s="2165"/>
      <c r="U100" s="2165"/>
      <c r="V100" s="2165"/>
      <c r="W100" s="2165"/>
      <c r="X100" s="2165"/>
      <c r="Y100" s="2165"/>
      <c r="Z100" s="2165"/>
      <c r="AA100" s="2165"/>
      <c r="AB100" s="2165"/>
      <c r="AC100" s="2165"/>
    </row>
    <row r="101" spans="1:29" s="1334" customFormat="1" ht="15.75" thickBot="1">
      <c r="A101" s="683"/>
      <c r="B101" s="674"/>
      <c r="C101" s="675">
        <v>100</v>
      </c>
      <c r="D101" s="675">
        <f>C101-$K34</f>
        <v>100</v>
      </c>
      <c r="E101" s="675">
        <f t="shared" ref="E101:M101" si="24">D101-$K34</f>
        <v>100</v>
      </c>
      <c r="F101" s="675">
        <f t="shared" si="24"/>
        <v>100</v>
      </c>
      <c r="G101" s="675">
        <f t="shared" si="24"/>
        <v>100</v>
      </c>
      <c r="H101" s="675">
        <f t="shared" si="24"/>
        <v>100</v>
      </c>
      <c r="I101" s="675">
        <f t="shared" si="24"/>
        <v>100</v>
      </c>
      <c r="J101" s="675">
        <f t="shared" si="24"/>
        <v>100</v>
      </c>
      <c r="K101" s="675">
        <f t="shared" si="24"/>
        <v>100</v>
      </c>
      <c r="L101" s="675">
        <f t="shared" si="24"/>
        <v>100</v>
      </c>
      <c r="M101" s="675">
        <f t="shared" si="24"/>
        <v>100</v>
      </c>
      <c r="N101" s="2162"/>
      <c r="O101" s="2162"/>
      <c r="P101" s="2163"/>
      <c r="Q101" s="2164"/>
      <c r="R101" s="2165"/>
      <c r="S101" s="2165"/>
      <c r="T101" s="2165"/>
      <c r="U101" s="2165"/>
      <c r="V101" s="2165"/>
      <c r="W101" s="2165"/>
      <c r="X101" s="2165"/>
      <c r="Y101" s="2165"/>
      <c r="Z101" s="2165"/>
      <c r="AA101" s="2165"/>
      <c r="AB101" s="2165"/>
      <c r="AC101" s="2165"/>
    </row>
    <row r="102" spans="1:29" ht="15" thickTop="1">
      <c r="A102" s="731"/>
      <c r="B102" s="1891" t="s">
        <v>2553</v>
      </c>
      <c r="C102" s="684"/>
      <c r="D102" s="684"/>
      <c r="E102" s="684"/>
      <c r="F102" s="684"/>
      <c r="G102" s="684"/>
      <c r="H102" s="714"/>
      <c r="I102" s="714"/>
      <c r="J102" s="714"/>
      <c r="K102" s="715"/>
      <c r="L102" s="716"/>
      <c r="M102" s="717"/>
      <c r="N102" s="2159"/>
      <c r="O102" s="2159"/>
      <c r="P102" s="2160"/>
      <c r="Q102" s="2153"/>
      <c r="R102" s="2140"/>
      <c r="S102" s="2140"/>
      <c r="T102" s="2140"/>
      <c r="U102" s="2140"/>
      <c r="V102" s="2140"/>
      <c r="W102" s="2140"/>
      <c r="X102" s="2140"/>
      <c r="Y102" s="2140"/>
      <c r="Z102" s="2140"/>
      <c r="AA102" s="2140"/>
      <c r="AB102" s="2140"/>
      <c r="AC102" s="2140"/>
    </row>
    <row r="103" spans="1:29" ht="15.75" thickBot="1">
      <c r="A103" s="665"/>
      <c r="B103" s="674"/>
      <c r="C103" s="675">
        <v>100</v>
      </c>
      <c r="D103" s="675">
        <f t="shared" ref="D103:M103" si="25">C103-$K35</f>
        <v>100</v>
      </c>
      <c r="E103" s="675">
        <f t="shared" si="25"/>
        <v>100</v>
      </c>
      <c r="F103" s="675">
        <f t="shared" si="25"/>
        <v>100</v>
      </c>
      <c r="G103" s="675">
        <f t="shared" si="25"/>
        <v>100</v>
      </c>
      <c r="H103" s="675">
        <f t="shared" si="25"/>
        <v>100</v>
      </c>
      <c r="I103" s="675">
        <f t="shared" si="25"/>
        <v>100</v>
      </c>
      <c r="J103" s="675">
        <f t="shared" si="25"/>
        <v>100</v>
      </c>
      <c r="K103" s="675">
        <f t="shared" si="25"/>
        <v>100</v>
      </c>
      <c r="L103" s="675">
        <f t="shared" si="25"/>
        <v>100</v>
      </c>
      <c r="M103" s="676">
        <f t="shared" si="25"/>
        <v>100</v>
      </c>
      <c r="N103" s="2161"/>
      <c r="O103" s="2161"/>
      <c r="P103" s="2160"/>
      <c r="Q103" s="2153"/>
      <c r="R103" s="2140"/>
      <c r="S103" s="2140"/>
      <c r="T103" s="2140"/>
      <c r="U103" s="2140"/>
      <c r="V103" s="2140"/>
      <c r="W103" s="2140"/>
      <c r="X103" s="2140"/>
      <c r="Y103" s="2140"/>
      <c r="Z103" s="2140"/>
      <c r="AA103" s="2140"/>
      <c r="AB103" s="2140"/>
      <c r="AC103" s="2140"/>
    </row>
    <row r="104" spans="1:29" ht="15" thickTop="1">
      <c r="A104" s="731"/>
      <c r="B104" s="669" t="s">
        <v>748</v>
      </c>
      <c r="C104" s="684"/>
      <c r="D104" s="684"/>
      <c r="E104" s="684"/>
      <c r="F104" s="684"/>
      <c r="G104" s="684"/>
      <c r="H104" s="714"/>
      <c r="I104" s="714"/>
      <c r="J104" s="714"/>
      <c r="K104" s="715"/>
      <c r="L104" s="716"/>
      <c r="M104" s="717"/>
      <c r="N104" s="2159"/>
      <c r="O104" s="2159"/>
      <c r="P104" s="2160"/>
      <c r="Q104" s="2153"/>
      <c r="R104" s="2140"/>
      <c r="S104" s="2140"/>
      <c r="T104" s="2140"/>
      <c r="U104" s="2140"/>
      <c r="V104" s="2140"/>
      <c r="W104" s="2140"/>
      <c r="X104" s="2140"/>
      <c r="Y104" s="2140"/>
      <c r="Z104" s="2140"/>
      <c r="AA104" s="2140"/>
      <c r="AB104" s="2140"/>
      <c r="AC104" s="2140"/>
    </row>
    <row r="105" spans="1:29" ht="15.75" thickBot="1">
      <c r="A105" s="665"/>
      <c r="B105" s="674"/>
      <c r="C105" s="675">
        <v>100</v>
      </c>
      <c r="D105" s="675">
        <f>C105-$K36</f>
        <v>100</v>
      </c>
      <c r="E105" s="675">
        <f>D105-$K36</f>
        <v>100</v>
      </c>
      <c r="F105" s="675">
        <f>E105-$K36</f>
        <v>100</v>
      </c>
      <c r="G105" s="675">
        <f>F105-$K36</f>
        <v>100</v>
      </c>
      <c r="H105" s="675"/>
      <c r="I105" s="675"/>
      <c r="J105" s="675"/>
      <c r="K105" s="675"/>
      <c r="L105" s="675"/>
      <c r="M105" s="676"/>
      <c r="N105" s="2161"/>
      <c r="O105" s="2161"/>
      <c r="P105" s="2160"/>
      <c r="Q105" s="2153"/>
      <c r="R105" s="2140"/>
      <c r="S105" s="2140"/>
      <c r="T105" s="2140"/>
      <c r="U105" s="2140"/>
      <c r="V105" s="2140"/>
      <c r="W105" s="2140"/>
      <c r="X105" s="2140"/>
      <c r="Y105" s="2140"/>
      <c r="Z105" s="2140"/>
      <c r="AA105" s="2140"/>
      <c r="AB105" s="2140"/>
      <c r="AC105" s="2140"/>
    </row>
    <row r="106" spans="1:29" ht="27.75" thickTop="1">
      <c r="A106" s="731"/>
      <c r="B106" s="912" t="s">
        <v>784</v>
      </c>
      <c r="C106" s="704" t="s">
        <v>573</v>
      </c>
      <c r="D106" s="704" t="s">
        <v>574</v>
      </c>
      <c r="E106" s="704" t="s">
        <v>575</v>
      </c>
      <c r="F106" s="704" t="s">
        <v>576</v>
      </c>
      <c r="G106" s="704" t="s">
        <v>577</v>
      </c>
      <c r="H106" s="670"/>
      <c r="I106" s="670"/>
      <c r="J106" s="670"/>
      <c r="K106" s="671"/>
      <c r="L106" s="672"/>
      <c r="M106" s="673"/>
      <c r="N106" s="2161"/>
      <c r="O106" s="2161"/>
      <c r="P106" s="2200"/>
      <c r="Q106" s="2201"/>
      <c r="R106" s="2140"/>
      <c r="S106" s="2140"/>
      <c r="T106" s="2140"/>
      <c r="U106" s="2140"/>
      <c r="V106" s="2140"/>
      <c r="W106" s="2140"/>
      <c r="X106" s="2140"/>
      <c r="Y106" s="2140"/>
      <c r="Z106" s="2140"/>
      <c r="AA106" s="2140"/>
      <c r="AB106" s="2140"/>
      <c r="AC106" s="2140"/>
    </row>
    <row r="107" spans="1:29" ht="15.75" thickBot="1">
      <c r="A107" s="665"/>
      <c r="B107" s="674"/>
      <c r="C107" s="708">
        <v>100</v>
      </c>
      <c r="D107" s="675">
        <f t="shared" ref="D107:M107" si="26">C107-$K37</f>
        <v>100</v>
      </c>
      <c r="E107" s="675">
        <f t="shared" si="26"/>
        <v>100</v>
      </c>
      <c r="F107" s="675">
        <f t="shared" si="26"/>
        <v>100</v>
      </c>
      <c r="G107" s="675">
        <f t="shared" si="26"/>
        <v>100</v>
      </c>
      <c r="H107" s="675">
        <f t="shared" si="26"/>
        <v>100</v>
      </c>
      <c r="I107" s="675">
        <f t="shared" si="26"/>
        <v>100</v>
      </c>
      <c r="J107" s="675">
        <f t="shared" si="26"/>
        <v>100</v>
      </c>
      <c r="K107" s="675">
        <f t="shared" si="26"/>
        <v>100</v>
      </c>
      <c r="L107" s="675">
        <f t="shared" si="26"/>
        <v>100</v>
      </c>
      <c r="M107" s="675">
        <f t="shared" si="26"/>
        <v>100</v>
      </c>
      <c r="N107" s="2161"/>
      <c r="O107" s="2161"/>
      <c r="P107" s="2160"/>
      <c r="Q107" s="2153"/>
      <c r="R107" s="2140"/>
      <c r="S107" s="2140"/>
      <c r="T107" s="2140"/>
      <c r="U107" s="2140"/>
      <c r="V107" s="2140"/>
      <c r="W107" s="2140"/>
      <c r="X107" s="2140"/>
      <c r="Y107" s="2140"/>
      <c r="Z107" s="2140"/>
      <c r="AA107" s="2140"/>
      <c r="AB107" s="2140"/>
      <c r="AC107" s="2140"/>
    </row>
    <row r="108" spans="1:29" s="1334" customFormat="1" ht="15" thickTop="1">
      <c r="A108" s="724"/>
      <c r="B108" s="669">
        <f>B38</f>
        <v>111</v>
      </c>
      <c r="C108" s="684"/>
      <c r="D108" s="684"/>
      <c r="E108" s="684"/>
      <c r="F108" s="684"/>
      <c r="G108" s="684"/>
      <c r="H108" s="685"/>
      <c r="I108" s="685"/>
      <c r="J108" s="685"/>
      <c r="K108" s="685"/>
      <c r="L108" s="686"/>
      <c r="M108" s="687"/>
      <c r="N108" s="2162"/>
      <c r="O108" s="2162"/>
      <c r="P108" s="2163"/>
      <c r="Q108" s="2164"/>
      <c r="R108" s="2165"/>
      <c r="S108" s="2165"/>
      <c r="T108" s="2165"/>
      <c r="U108" s="2165"/>
      <c r="V108" s="2165"/>
      <c r="W108" s="2165"/>
      <c r="X108" s="2165"/>
      <c r="Y108" s="2165"/>
      <c r="Z108" s="2165"/>
      <c r="AA108" s="2165"/>
      <c r="AB108" s="2165"/>
      <c r="AC108" s="2165"/>
    </row>
    <row r="109" spans="1:29" s="1334" customFormat="1" ht="15.75" thickBot="1">
      <c r="A109" s="683"/>
      <c r="B109" s="666"/>
      <c r="C109" s="688"/>
      <c r="D109" s="667"/>
      <c r="E109" s="667"/>
      <c r="F109" s="667"/>
      <c r="G109" s="688"/>
      <c r="H109" s="689"/>
      <c r="I109" s="689"/>
      <c r="J109" s="689"/>
      <c r="K109" s="689"/>
      <c r="L109" s="689"/>
      <c r="M109" s="690"/>
      <c r="N109" s="2162"/>
      <c r="O109" s="2162"/>
      <c r="P109" s="2163"/>
      <c r="Q109" s="2164"/>
      <c r="R109" s="2165"/>
      <c r="S109" s="2165"/>
      <c r="T109" s="2165"/>
      <c r="U109" s="2165"/>
      <c r="V109" s="2165"/>
      <c r="W109" s="2165"/>
      <c r="X109" s="2165"/>
      <c r="Y109" s="2165"/>
      <c r="Z109" s="2165"/>
      <c r="AA109" s="2165"/>
      <c r="AB109" s="2165"/>
      <c r="AC109" s="2165"/>
    </row>
    <row r="110" spans="1:29" ht="15" thickTop="1">
      <c r="A110" s="731"/>
      <c r="B110" s="669">
        <f>B39</f>
        <v>111</v>
      </c>
      <c r="C110" s="684"/>
      <c r="D110" s="684"/>
      <c r="E110" s="684"/>
      <c r="F110" s="684"/>
      <c r="G110" s="684"/>
      <c r="H110" s="685"/>
      <c r="I110" s="685"/>
      <c r="J110" s="685"/>
      <c r="K110" s="685"/>
      <c r="L110" s="686"/>
      <c r="M110" s="687"/>
      <c r="N110" s="2159"/>
      <c r="O110" s="2159"/>
      <c r="P110" s="2160"/>
      <c r="Q110" s="2153"/>
      <c r="R110" s="2140"/>
      <c r="S110" s="2140"/>
      <c r="T110" s="2140"/>
      <c r="U110" s="2140"/>
      <c r="V110" s="2140"/>
      <c r="W110" s="2140"/>
      <c r="X110" s="2140"/>
      <c r="Y110" s="2140"/>
      <c r="Z110" s="2140"/>
      <c r="AA110" s="2140"/>
      <c r="AB110" s="2140"/>
      <c r="AC110" s="2140"/>
    </row>
    <row r="111" spans="1:29" ht="15.75" thickBot="1">
      <c r="A111" s="665"/>
      <c r="B111" s="674"/>
      <c r="C111" s="688"/>
      <c r="D111" s="667"/>
      <c r="E111" s="667"/>
      <c r="F111" s="667"/>
      <c r="G111" s="688"/>
      <c r="H111" s="689"/>
      <c r="I111" s="689"/>
      <c r="J111" s="689"/>
      <c r="K111" s="689"/>
      <c r="L111" s="689"/>
      <c r="M111" s="690"/>
      <c r="N111" s="2161"/>
      <c r="O111" s="2161"/>
      <c r="P111" s="2160"/>
      <c r="Q111" s="2153"/>
      <c r="R111" s="2140"/>
      <c r="S111" s="2140"/>
      <c r="T111" s="2140"/>
      <c r="U111" s="2140"/>
      <c r="V111" s="2140"/>
      <c r="W111" s="2140"/>
      <c r="X111" s="2140"/>
      <c r="Y111" s="2140"/>
      <c r="Z111" s="2140"/>
      <c r="AA111" s="2140"/>
      <c r="AB111" s="2140"/>
      <c r="AC111" s="2140"/>
    </row>
    <row r="112" spans="1:29" ht="15" thickTop="1">
      <c r="A112" s="731"/>
      <c r="B112" s="677">
        <f>B40</f>
        <v>111</v>
      </c>
      <c r="C112" s="657"/>
      <c r="D112" s="657"/>
      <c r="E112" s="657"/>
      <c r="F112" s="657"/>
      <c r="G112" s="718"/>
      <c r="H112" s="718"/>
      <c r="I112" s="718"/>
      <c r="J112" s="718"/>
      <c r="K112" s="657"/>
      <c r="L112" s="658"/>
      <c r="M112" s="721"/>
      <c r="N112" s="2159"/>
      <c r="O112" s="2159"/>
      <c r="P112" s="2160"/>
      <c r="Q112" s="2153"/>
      <c r="R112" s="2140"/>
      <c r="S112" s="2140"/>
      <c r="T112" s="2140"/>
      <c r="U112" s="2140"/>
      <c r="V112" s="2140"/>
      <c r="W112" s="2140"/>
      <c r="X112" s="2140"/>
      <c r="Y112" s="2140"/>
      <c r="Z112" s="2140"/>
      <c r="AA112" s="2140"/>
      <c r="AB112" s="2140"/>
      <c r="AC112" s="2140"/>
    </row>
    <row r="113" spans="1:29" ht="15.75" thickBot="1">
      <c r="A113" s="888"/>
      <c r="B113" s="695"/>
      <c r="C113" s="696"/>
      <c r="D113" s="696"/>
      <c r="E113" s="696"/>
      <c r="F113" s="696"/>
      <c r="G113" s="722"/>
      <c r="H113" s="722"/>
      <c r="I113" s="722"/>
      <c r="J113" s="722"/>
      <c r="K113" s="722"/>
      <c r="L113" s="722"/>
      <c r="M113" s="723"/>
      <c r="N113" s="2161"/>
      <c r="O113" s="2161"/>
      <c r="P113" s="2160"/>
      <c r="Q113" s="2153"/>
      <c r="R113" s="2140"/>
      <c r="S113" s="2140"/>
      <c r="T113" s="2140"/>
      <c r="U113" s="2140"/>
      <c r="V113" s="2140"/>
      <c r="W113" s="2140"/>
      <c r="X113" s="2140"/>
      <c r="Y113" s="2140"/>
      <c r="Z113" s="2140"/>
      <c r="AA113" s="2140"/>
      <c r="AB113" s="2140"/>
      <c r="AC113" s="2140"/>
    </row>
    <row r="114" spans="1:29">
      <c r="A114" s="2174"/>
      <c r="B114" s="2174"/>
      <c r="C114" s="2174"/>
      <c r="D114" s="2174"/>
      <c r="E114" s="2174"/>
      <c r="F114" s="2174"/>
      <c r="G114" s="2174"/>
      <c r="H114" s="2174"/>
      <c r="I114" s="2174"/>
      <c r="J114" s="2174"/>
      <c r="K114" s="2175"/>
      <c r="L114" s="2176"/>
      <c r="M114" s="2174"/>
      <c r="N114" s="2174"/>
      <c r="O114" s="2174"/>
      <c r="P114" s="2174"/>
      <c r="Q114" s="2174"/>
      <c r="R114" s="2174"/>
      <c r="S114" s="2174"/>
      <c r="T114" s="2174"/>
      <c r="U114" s="2174"/>
      <c r="V114" s="2174"/>
      <c r="W114" s="2174"/>
      <c r="X114" s="2174"/>
      <c r="Y114" s="2174"/>
      <c r="Z114" s="2174"/>
      <c r="AA114" s="2174"/>
      <c r="AB114" s="2174"/>
      <c r="AC114" s="2174"/>
    </row>
    <row r="115" spans="1:29">
      <c r="A115" s="2174"/>
      <c r="B115" s="2174"/>
      <c r="C115" s="2174"/>
      <c r="D115" s="2174"/>
      <c r="E115" s="2174"/>
      <c r="F115" s="2174"/>
      <c r="G115" s="2174"/>
      <c r="H115" s="2174"/>
      <c r="I115" s="2174"/>
      <c r="J115" s="2174"/>
      <c r="K115" s="2175"/>
      <c r="L115" s="2176"/>
      <c r="M115" s="2174"/>
      <c r="N115" s="2174"/>
      <c r="O115" s="2174"/>
      <c r="P115" s="2174"/>
      <c r="Q115" s="2174"/>
      <c r="R115" s="2174"/>
      <c r="S115" s="2174"/>
      <c r="T115" s="2174"/>
      <c r="U115" s="2174"/>
      <c r="V115" s="2174"/>
      <c r="W115" s="2174"/>
      <c r="X115" s="2174"/>
      <c r="Y115" s="2174"/>
      <c r="Z115" s="2174"/>
      <c r="AA115" s="2174"/>
      <c r="AB115" s="2174"/>
      <c r="AC115" s="2174"/>
    </row>
    <row r="116" spans="1:29">
      <c r="A116" s="2174"/>
      <c r="B116" s="2174"/>
      <c r="C116" s="2174"/>
      <c r="D116" s="2174"/>
      <c r="E116" s="2174"/>
      <c r="F116" s="2174"/>
      <c r="G116" s="2174"/>
      <c r="H116" s="2174"/>
      <c r="I116" s="2174"/>
      <c r="J116" s="2174"/>
      <c r="K116" s="2175"/>
      <c r="L116" s="2176"/>
      <c r="M116" s="2174"/>
      <c r="N116" s="2174"/>
      <c r="O116" s="2174"/>
      <c r="P116" s="2174"/>
      <c r="Q116" s="2174"/>
      <c r="R116" s="2174"/>
      <c r="S116" s="2174"/>
      <c r="T116" s="2174"/>
      <c r="U116" s="2174"/>
      <c r="V116" s="2174"/>
      <c r="W116" s="2174"/>
      <c r="X116" s="2174"/>
      <c r="Y116" s="2174"/>
      <c r="Z116" s="2174"/>
      <c r="AA116" s="2174"/>
      <c r="AB116" s="2174"/>
      <c r="AC116" s="2174"/>
    </row>
    <row r="117" spans="1:29">
      <c r="A117" s="2174"/>
      <c r="B117" s="2174"/>
      <c r="C117" s="2174"/>
      <c r="D117" s="2174"/>
      <c r="E117" s="2174"/>
      <c r="F117" s="2174"/>
      <c r="G117" s="2174"/>
      <c r="H117" s="2174"/>
      <c r="I117" s="2174"/>
      <c r="J117" s="2174"/>
      <c r="K117" s="2175"/>
      <c r="L117" s="2176"/>
      <c r="M117" s="2174"/>
      <c r="N117" s="2174"/>
      <c r="O117" s="2174"/>
      <c r="P117" s="2174"/>
      <c r="Q117" s="2174"/>
      <c r="R117" s="2174"/>
      <c r="S117" s="2174"/>
      <c r="T117" s="2174"/>
      <c r="U117" s="2174"/>
      <c r="V117" s="2174"/>
      <c r="W117" s="2174"/>
      <c r="X117" s="2174"/>
      <c r="Y117" s="2174"/>
      <c r="Z117" s="2174"/>
      <c r="AA117" s="2174"/>
      <c r="AB117" s="2174"/>
      <c r="AC117" s="2174"/>
    </row>
    <row r="118" spans="1:29">
      <c r="A118" s="2174"/>
      <c r="B118" s="2174"/>
      <c r="C118" s="2174"/>
      <c r="D118" s="2174"/>
      <c r="E118" s="2174"/>
      <c r="F118" s="2174"/>
      <c r="G118" s="2174"/>
      <c r="H118" s="2174"/>
      <c r="I118" s="2174"/>
      <c r="J118" s="2174"/>
      <c r="K118" s="2175"/>
      <c r="L118" s="2176"/>
      <c r="M118" s="2174"/>
      <c r="N118" s="2174"/>
      <c r="O118" s="2174"/>
      <c r="P118" s="2174"/>
      <c r="Q118" s="2174"/>
      <c r="R118" s="2174"/>
      <c r="S118" s="2174"/>
      <c r="T118" s="2174"/>
      <c r="U118" s="2174"/>
      <c r="V118" s="2174"/>
      <c r="W118" s="2174"/>
      <c r="X118" s="2174"/>
      <c r="Y118" s="2174"/>
      <c r="Z118" s="2174"/>
      <c r="AA118" s="2174"/>
      <c r="AB118" s="2174"/>
      <c r="AC118" s="2174"/>
    </row>
    <row r="119" spans="1:29">
      <c r="A119" s="2174"/>
      <c r="B119" s="2174"/>
      <c r="C119" s="2174"/>
      <c r="D119" s="2174"/>
      <c r="E119" s="2174"/>
      <c r="F119" s="2174"/>
      <c r="G119" s="2174"/>
      <c r="H119" s="2174"/>
      <c r="I119" s="2174"/>
      <c r="J119" s="2174"/>
      <c r="K119" s="2175"/>
      <c r="L119" s="2176"/>
      <c r="M119" s="2174"/>
      <c r="N119" s="2174"/>
      <c r="O119" s="2174"/>
      <c r="P119" s="2174"/>
      <c r="Q119" s="2174"/>
      <c r="R119" s="2174"/>
      <c r="S119" s="2174"/>
      <c r="T119" s="2174"/>
      <c r="U119" s="2174"/>
      <c r="V119" s="2174"/>
      <c r="W119" s="2174"/>
      <c r="X119" s="2174"/>
      <c r="Y119" s="2174"/>
      <c r="Z119" s="2174"/>
      <c r="AA119" s="2174"/>
      <c r="AB119" s="2174"/>
      <c r="AC119" s="2174"/>
    </row>
    <row r="120" spans="1:29">
      <c r="A120" s="2174"/>
      <c r="B120" s="2174"/>
      <c r="C120" s="2174"/>
      <c r="D120" s="2174"/>
      <c r="E120" s="2174"/>
      <c r="F120" s="2174"/>
      <c r="G120" s="2174"/>
      <c r="H120" s="2174"/>
      <c r="I120" s="2174"/>
      <c r="J120" s="2174"/>
      <c r="K120" s="2175"/>
      <c r="L120" s="2176"/>
      <c r="M120" s="2174"/>
      <c r="N120" s="2174"/>
      <c r="O120" s="2174"/>
      <c r="P120" s="2174"/>
      <c r="Q120" s="2174"/>
      <c r="R120" s="2174"/>
      <c r="S120" s="2174"/>
      <c r="T120" s="2174"/>
      <c r="U120" s="2174"/>
      <c r="V120" s="2174"/>
      <c r="W120" s="2174"/>
      <c r="X120" s="2174"/>
      <c r="Y120" s="2174"/>
      <c r="Z120" s="2174"/>
      <c r="AA120" s="2174"/>
      <c r="AB120" s="2174"/>
      <c r="AC120" s="2174"/>
    </row>
    <row r="121" spans="1:29">
      <c r="A121" s="2174"/>
      <c r="B121" s="2174"/>
      <c r="C121" s="2174"/>
      <c r="D121" s="2174"/>
      <c r="E121" s="2174"/>
      <c r="F121" s="2174"/>
      <c r="G121" s="2174"/>
      <c r="H121" s="2174"/>
      <c r="I121" s="2174"/>
      <c r="J121" s="2174"/>
      <c r="K121" s="2175"/>
      <c r="L121" s="2176"/>
      <c r="M121" s="2174"/>
      <c r="N121" s="2174"/>
      <c r="O121" s="2174"/>
      <c r="P121" s="2174"/>
      <c r="Q121" s="2174"/>
      <c r="R121" s="2174"/>
      <c r="S121" s="2174"/>
      <c r="T121" s="2174"/>
      <c r="U121" s="2174"/>
      <c r="V121" s="2174"/>
      <c r="W121" s="2174"/>
      <c r="X121" s="2174"/>
      <c r="Y121" s="2174"/>
      <c r="Z121" s="2174"/>
      <c r="AA121" s="2174"/>
      <c r="AB121" s="2174"/>
      <c r="AC121" s="2174"/>
    </row>
    <row r="122" spans="1:29">
      <c r="A122" s="2174"/>
      <c r="B122" s="2174"/>
      <c r="C122" s="2174"/>
      <c r="D122" s="2174"/>
      <c r="E122" s="2174"/>
      <c r="F122" s="2174"/>
      <c r="G122" s="2174"/>
      <c r="H122" s="2174"/>
      <c r="I122" s="2174"/>
      <c r="J122" s="2174"/>
      <c r="K122" s="2175"/>
      <c r="L122" s="2176"/>
      <c r="M122" s="2174"/>
      <c r="N122" s="2174"/>
      <c r="O122" s="2174"/>
      <c r="P122" s="2174"/>
      <c r="Q122" s="2174"/>
      <c r="R122" s="2174"/>
      <c r="S122" s="2174"/>
      <c r="T122" s="2174"/>
      <c r="U122" s="2174"/>
      <c r="V122" s="2174"/>
      <c r="W122" s="2174"/>
      <c r="X122" s="2174"/>
      <c r="Y122" s="2174"/>
      <c r="Z122" s="2174"/>
      <c r="AA122" s="2174"/>
      <c r="AB122" s="2174"/>
      <c r="AC122" s="2174"/>
    </row>
    <row r="123" spans="1:29">
      <c r="A123" s="2174"/>
      <c r="B123" s="2174"/>
      <c r="C123" s="2174"/>
      <c r="D123" s="2174"/>
      <c r="E123" s="2174"/>
      <c r="F123" s="2174"/>
      <c r="G123" s="2174"/>
      <c r="H123" s="2174"/>
      <c r="I123" s="2174"/>
      <c r="J123" s="2174"/>
      <c r="K123" s="2175"/>
      <c r="L123" s="2176"/>
      <c r="M123" s="2174"/>
      <c r="N123" s="2174"/>
      <c r="O123" s="2174"/>
      <c r="P123" s="2174"/>
      <c r="Q123" s="2174"/>
      <c r="R123" s="2174"/>
      <c r="S123" s="2174"/>
      <c r="T123" s="2174"/>
      <c r="U123" s="2174"/>
      <c r="V123" s="2174"/>
      <c r="W123" s="2174"/>
      <c r="X123" s="2174"/>
      <c r="Y123" s="2174"/>
      <c r="Z123" s="2174"/>
      <c r="AA123" s="2174"/>
      <c r="AB123" s="2174"/>
      <c r="AC123" s="2174"/>
    </row>
    <row r="124" spans="1:29">
      <c r="A124" s="2174"/>
      <c r="B124" s="2174"/>
      <c r="C124" s="2174"/>
      <c r="D124" s="2174"/>
      <c r="E124" s="2174"/>
      <c r="F124" s="2174"/>
      <c r="G124" s="2174"/>
      <c r="H124" s="2174"/>
      <c r="I124" s="2174"/>
      <c r="J124" s="2174"/>
      <c r="K124" s="2175"/>
      <c r="L124" s="2176"/>
      <c r="M124" s="2174"/>
      <c r="N124" s="2174"/>
      <c r="O124" s="2174"/>
      <c r="P124" s="2174"/>
      <c r="Q124" s="2174"/>
      <c r="R124" s="2174"/>
      <c r="S124" s="2174"/>
      <c r="T124" s="2174"/>
      <c r="U124" s="2174"/>
      <c r="V124" s="2174"/>
      <c r="W124" s="2174"/>
      <c r="X124" s="2174"/>
      <c r="Y124" s="2174"/>
      <c r="Z124" s="2174"/>
      <c r="AA124" s="2174"/>
      <c r="AB124" s="2174"/>
      <c r="AC124" s="2174"/>
    </row>
    <row r="125" spans="1:29">
      <c r="A125" s="2174"/>
      <c r="B125" s="2174"/>
      <c r="C125" s="2174"/>
      <c r="D125" s="2174"/>
      <c r="E125" s="2174"/>
      <c r="F125" s="2174"/>
      <c r="G125" s="2174"/>
      <c r="H125" s="2174"/>
      <c r="I125" s="2174"/>
      <c r="J125" s="2174"/>
      <c r="K125" s="2175"/>
      <c r="L125" s="2176"/>
      <c r="M125" s="2174"/>
      <c r="N125" s="2174"/>
      <c r="O125" s="2174"/>
      <c r="P125" s="2174"/>
      <c r="Q125" s="2174"/>
      <c r="R125" s="2174"/>
      <c r="S125" s="2174"/>
      <c r="T125" s="2174"/>
      <c r="U125" s="2174"/>
      <c r="V125" s="2174"/>
      <c r="W125" s="2174"/>
      <c r="X125" s="2174"/>
      <c r="Y125" s="2174"/>
      <c r="Z125" s="2174"/>
      <c r="AA125" s="2174"/>
      <c r="AB125" s="2174"/>
      <c r="AC125" s="2174"/>
    </row>
    <row r="126" spans="1:29">
      <c r="A126" s="2174"/>
      <c r="B126" s="2174"/>
      <c r="C126" s="2174"/>
      <c r="D126" s="2174"/>
      <c r="E126" s="2174"/>
      <c r="F126" s="2174"/>
      <c r="G126" s="2174"/>
      <c r="H126" s="2174"/>
      <c r="I126" s="2174"/>
      <c r="J126" s="2174"/>
      <c r="K126" s="2175"/>
      <c r="L126" s="2176"/>
      <c r="M126" s="2174"/>
      <c r="N126" s="2174"/>
      <c r="O126" s="2174"/>
      <c r="P126" s="2174"/>
      <c r="Q126" s="2174"/>
      <c r="R126" s="2174"/>
      <c r="S126" s="2174"/>
      <c r="T126" s="2174"/>
      <c r="U126" s="2174"/>
      <c r="V126" s="2174"/>
      <c r="W126" s="2174"/>
      <c r="X126" s="2174"/>
      <c r="Y126" s="2174"/>
      <c r="Z126" s="2174"/>
      <c r="AA126" s="2174"/>
      <c r="AB126" s="2174"/>
      <c r="AC126" s="2174"/>
    </row>
    <row r="127" spans="1:29">
      <c r="A127" s="2174"/>
      <c r="B127" s="2174"/>
      <c r="C127" s="2174"/>
      <c r="D127" s="2174"/>
      <c r="E127" s="2174"/>
      <c r="F127" s="2174"/>
      <c r="G127" s="2174"/>
      <c r="H127" s="2174"/>
      <c r="I127" s="2174"/>
      <c r="J127" s="2174"/>
      <c r="K127" s="2175"/>
      <c r="L127" s="2176"/>
      <c r="M127" s="2174"/>
      <c r="N127" s="2174"/>
      <c r="O127" s="2174"/>
      <c r="P127" s="2174"/>
      <c r="Q127" s="2174"/>
      <c r="R127" s="2174"/>
      <c r="S127" s="2174"/>
      <c r="T127" s="2174"/>
      <c r="U127" s="2174"/>
      <c r="V127" s="2174"/>
      <c r="W127" s="2174"/>
      <c r="X127" s="2174"/>
      <c r="Y127" s="2174"/>
      <c r="Z127" s="2174"/>
      <c r="AA127" s="2174"/>
      <c r="AB127" s="2174"/>
      <c r="AC127" s="2174"/>
    </row>
    <row r="128" spans="1:29">
      <c r="A128" s="2174"/>
      <c r="B128" s="2174"/>
      <c r="C128" s="2174"/>
      <c r="D128" s="2174"/>
      <c r="E128" s="2174"/>
      <c r="F128" s="2174"/>
      <c r="G128" s="2174"/>
      <c r="H128" s="2174"/>
      <c r="I128" s="2174"/>
      <c r="J128" s="2174"/>
      <c r="K128" s="2175"/>
      <c r="L128" s="2176"/>
      <c r="M128" s="2174"/>
      <c r="N128" s="2174"/>
      <c r="O128" s="2174"/>
      <c r="P128" s="2174"/>
      <c r="Q128" s="2174"/>
      <c r="R128" s="2174"/>
      <c r="S128" s="2174"/>
      <c r="T128" s="2174"/>
      <c r="U128" s="2174"/>
      <c r="V128" s="2174"/>
      <c r="W128" s="2174"/>
      <c r="X128" s="2174"/>
      <c r="Y128" s="2174"/>
      <c r="Z128" s="2174"/>
      <c r="AA128" s="2174"/>
      <c r="AB128" s="2174"/>
      <c r="AC128" s="2174"/>
    </row>
    <row r="129" spans="1:29">
      <c r="A129" s="2174"/>
      <c r="B129" s="2174"/>
      <c r="C129" s="2174"/>
      <c r="D129" s="2174"/>
      <c r="E129" s="2174"/>
      <c r="F129" s="2174"/>
      <c r="G129" s="2174"/>
      <c r="H129" s="2174"/>
      <c r="I129" s="2174"/>
      <c r="J129" s="2174"/>
      <c r="K129" s="2175"/>
      <c r="L129" s="2176"/>
      <c r="M129" s="2174"/>
      <c r="N129" s="2174"/>
      <c r="O129" s="2174"/>
      <c r="P129" s="2174"/>
      <c r="Q129" s="2174"/>
      <c r="R129" s="2174"/>
      <c r="S129" s="2174"/>
      <c r="T129" s="2174"/>
      <c r="U129" s="2174"/>
      <c r="V129" s="2174"/>
      <c r="W129" s="2174"/>
      <c r="X129" s="2174"/>
      <c r="Y129" s="2174"/>
      <c r="Z129" s="2174"/>
      <c r="AA129" s="2174"/>
      <c r="AB129" s="2174"/>
      <c r="AC129" s="2174"/>
    </row>
    <row r="130" spans="1:29">
      <c r="A130" s="2174"/>
      <c r="B130" s="2174"/>
      <c r="C130" s="2174"/>
      <c r="D130" s="2174"/>
      <c r="E130" s="2174"/>
      <c r="F130" s="2174"/>
      <c r="G130" s="2174"/>
      <c r="H130" s="2174"/>
      <c r="I130" s="2174"/>
      <c r="J130" s="2174"/>
      <c r="K130" s="2175"/>
      <c r="L130" s="2176"/>
      <c r="M130" s="2174"/>
      <c r="N130" s="2174"/>
      <c r="O130" s="2174"/>
      <c r="P130" s="2174"/>
      <c r="Q130" s="2174"/>
      <c r="R130" s="2174"/>
      <c r="S130" s="2174"/>
      <c r="T130" s="2174"/>
      <c r="U130" s="2174"/>
      <c r="V130" s="2174"/>
      <c r="W130" s="2174"/>
      <c r="X130" s="2174"/>
      <c r="Y130" s="2174"/>
      <c r="Z130" s="2174"/>
      <c r="AA130" s="2174"/>
      <c r="AB130" s="2174"/>
      <c r="AC130" s="2174"/>
    </row>
    <row r="131" spans="1:29">
      <c r="A131" s="2174"/>
      <c r="B131" s="2174"/>
      <c r="C131" s="2174"/>
      <c r="D131" s="2174"/>
      <c r="E131" s="2174"/>
      <c r="F131" s="2174"/>
      <c r="G131" s="2174"/>
      <c r="H131" s="2174"/>
      <c r="I131" s="2174"/>
      <c r="J131" s="2174"/>
      <c r="K131" s="2175"/>
      <c r="L131" s="2176"/>
      <c r="M131" s="2174"/>
      <c r="N131" s="2174"/>
      <c r="O131" s="2174"/>
      <c r="P131" s="2174"/>
      <c r="Q131" s="2174"/>
      <c r="R131" s="2174"/>
      <c r="S131" s="2174"/>
      <c r="T131" s="2174"/>
      <c r="U131" s="2174"/>
      <c r="V131" s="2174"/>
      <c r="W131" s="2174"/>
      <c r="X131" s="2174"/>
      <c r="Y131" s="2174"/>
      <c r="Z131" s="2174"/>
      <c r="AA131" s="2174"/>
      <c r="AB131" s="2174"/>
      <c r="AC131" s="2174"/>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c r="N236" s="2174"/>
      <c r="O236" s="2174"/>
      <c r="P236" s="2174"/>
      <c r="Q236" s="2174"/>
      <c r="R236" s="2174"/>
      <c r="S236" s="2174"/>
      <c r="T236" s="2174"/>
      <c r="U236" s="2174"/>
      <c r="V236" s="2174"/>
      <c r="W236" s="2174"/>
      <c r="X236" s="2174"/>
      <c r="Y236" s="2174"/>
      <c r="Z236" s="2174"/>
      <c r="AA236" s="2174"/>
      <c r="AB236" s="2174"/>
      <c r="AC236" s="217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4" customWidth="1"/>
    <col min="2" max="2" width="9" style="1774"/>
    <col min="3" max="4" width="9.625" style="1774" customWidth="1"/>
    <col min="5" max="16384" width="9" style="1774"/>
  </cols>
  <sheetData>
    <row r="1" spans="1:4" ht="22.5">
      <c r="A1" s="1773" t="s">
        <v>1898</v>
      </c>
    </row>
    <row r="2" spans="1:4">
      <c r="A2" s="1775"/>
    </row>
    <row r="3" spans="1:4" ht="18.75">
      <c r="A3" s="1793" t="str">
        <f>项目基本情况!B5&amp;"："</f>
        <v>：</v>
      </c>
    </row>
    <row r="4" spans="1:4" ht="37.5">
      <c r="A4" s="1787" t="str">
        <f>"受贵公司委托，我公司对"&amp;项目基本情况!K2&amp;项目基本情况!B9&amp;"进行了预评估。"</f>
        <v>受贵公司委托，我公司对天津市河东区六纬路西侧金茂天津河东一热电项目出让国有建设用地使用权抵押价格进行了预评估。</v>
      </c>
    </row>
    <row r="5" spans="1:4" ht="18.75">
      <c r="A5" s="1790" t="s">
        <v>1899</v>
      </c>
    </row>
    <row r="6" spans="1:4" ht="75">
      <c r="A6" s="178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天津市河东区六纬路西侧金茂天津河东一热电项目出让国有建设用地使用权。根据《国有土地使用证》[]，估价对象（分摊）出让国有建设用地使用权面积为121315.1平方米。根据《建设工程规划许可证》[]、《出让合同》[]，估价对象规划建筑面积为412759.99平方米。</v>
      </c>
    </row>
    <row r="7" spans="1:4" ht="93.75">
      <c r="A7" s="2894" t="s">
        <v>2747</v>
      </c>
    </row>
    <row r="8" spans="1:4" ht="18.75">
      <c r="A8" s="1790" t="s">
        <v>1900</v>
      </c>
    </row>
    <row r="9" spans="1:4" ht="93.75">
      <c r="A9" s="1792" t="str">
        <f>IF(项目基本情况!B8="抵押",IF(项目基本情况!B5=项目基本情况!B6,定义!C51,定义!B51),定义!D51)</f>
        <v>天津津辉置业有限公司拟使用天津市河东区六纬路西侧金茂天津河东一热电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3" t="s">
        <v>2021</v>
      </c>
    </row>
    <row r="11" spans="1:4" ht="18.75">
      <c r="A11" s="1776" t="str">
        <f>TEXT(项目基本情况!D3,"yyyy年m月d日;;")&amp;IF(项目基本情况!B3=项目基本情况!D3,"（评估专业人员勘察现场之日）","")</f>
        <v>2017年10月27日（评估专业人员勘察现场之日）</v>
      </c>
    </row>
    <row r="12" spans="1:4" ht="18.75">
      <c r="A12" s="1793" t="s">
        <v>2020</v>
      </c>
    </row>
    <row r="13" spans="1:4" ht="18.75">
      <c r="A13" s="1787" t="s">
        <v>2066</v>
      </c>
    </row>
    <row r="14" spans="1:4" ht="37.5">
      <c r="A14" s="1787" t="str">
        <f>"根据"&amp;项目基本情况!F12&amp;"，本次评估估价对象证载（地类）用途为"&amp;项目基本情况!B12&amp;"。"</f>
        <v>根据《出让公告》，本次评估估价对象证载（地类）用途为住宅、商业、地下车库。</v>
      </c>
      <c r="C14" s="1777"/>
      <c r="D14" s="1778"/>
    </row>
    <row r="15" spans="1:4" ht="18.75">
      <c r="A15" s="17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7"/>
      <c r="D15" s="1778"/>
    </row>
    <row r="16" spans="1:4" ht="18.75">
      <c r="A16" s="1787" t="s">
        <v>2067</v>
      </c>
    </row>
    <row r="17" spans="1:1" ht="56.25">
      <c r="A17" s="17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8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7" t="s">
        <v>2068</v>
      </c>
    </row>
    <row r="20" spans="1:1" ht="56.25">
      <c r="A20" s="257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根据《国有土地使用证》[]，估价对象（分摊）出让国有建设用地使用权面积为121315.1平方米。根据《建设工程规划许可证》[]、《出让合同》[]，估价对象规划建筑面积为412759.99平方米。</v>
      </c>
    </row>
    <row r="21" spans="1:1" ht="93.75">
      <c r="A21" s="289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7" t="s">
        <v>2069</v>
      </c>
    </row>
    <row r="23" spans="1:1" ht="18.75">
      <c r="A23" s="2896" t="s">
        <v>2748</v>
      </c>
    </row>
    <row r="24" spans="1:1" ht="18.75">
      <c r="A24" s="1787" t="s">
        <v>2070</v>
      </c>
    </row>
    <row r="25" spans="1:1" ht="75">
      <c r="A25" s="1787" t="str">
        <f>定义!C53</f>
        <v>本次估价的“出让国有建设用地使用权价格”是指在估价对象土地所有权为国家所有，使用权性质为出让，在公开市场条件下、于估价期日2017年10月27日，在规划利用条件下、设定土地开发程度为红线外“七通”、宗地内场地，设定用途为，剩余土地使用年限为的出让国有建设用地使用权价格。</v>
      </c>
    </row>
    <row r="26" spans="1:1" ht="37.5">
      <c r="A26" s="178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3" t="s">
        <v>2022</v>
      </c>
    </row>
    <row r="30" spans="1:1" ht="75">
      <c r="A30" s="17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4"/>
    </row>
    <row r="32" spans="1:1" ht="18.75">
      <c r="A32" s="1795" t="s">
        <v>2023</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0" t="s">
        <v>712</v>
      </c>
      <c r="B1" s="918"/>
      <c r="C1" s="502" t="s">
        <v>785</v>
      </c>
      <c r="D1" s="845"/>
      <c r="E1" s="504"/>
      <c r="F1" s="2828"/>
      <c r="G1" s="1596" t="s">
        <v>786</v>
      </c>
      <c r="H1" s="504"/>
      <c r="I1" s="504"/>
      <c r="J1" s="504"/>
      <c r="K1" s="505"/>
      <c r="L1" s="1557"/>
      <c r="M1" s="1558"/>
      <c r="N1" s="1558"/>
      <c r="O1" s="1558"/>
      <c r="P1" s="1559"/>
      <c r="Q1" s="1559"/>
      <c r="R1" s="1559"/>
      <c r="S1" s="1559"/>
      <c r="T1" s="1559"/>
      <c r="U1" s="1559"/>
      <c r="V1" s="1559"/>
      <c r="W1" s="1559"/>
      <c r="X1" s="1559"/>
      <c r="Y1" s="1559"/>
      <c r="Z1" s="1559"/>
      <c r="AA1" s="1559"/>
      <c r="AB1" s="1559"/>
      <c r="AC1" s="1560"/>
    </row>
    <row r="2" spans="1:29" s="1331" customFormat="1" ht="28.5" customHeight="1">
      <c r="A2" s="421" t="s">
        <v>787</v>
      </c>
      <c r="B2" s="846" t="e">
        <f>IF(B37="元/平方米",ROUND(B3*D3/10000,0),ROUND(F3*C39/10000,0))</f>
        <v>#DIV/0!</v>
      </c>
      <c r="C2" s="2122"/>
      <c r="D2" s="2122"/>
      <c r="E2" s="2123"/>
      <c r="F2" s="2124"/>
      <c r="G2" s="2123"/>
      <c r="H2" s="2123"/>
      <c r="I2" s="2123"/>
      <c r="J2" s="2123"/>
      <c r="K2" s="2125"/>
      <c r="L2" s="2126"/>
      <c r="M2" s="2127"/>
      <c r="N2" s="2127"/>
      <c r="O2" s="2127"/>
      <c r="P2" s="1559"/>
      <c r="Q2" s="1559"/>
      <c r="R2" s="1559"/>
      <c r="S2" s="1559"/>
      <c r="T2" s="1559"/>
      <c r="U2" s="1559"/>
      <c r="V2" s="1559"/>
      <c r="W2" s="1559"/>
      <c r="X2" s="1559"/>
      <c r="Y2" s="1559"/>
      <c r="Z2" s="1559"/>
      <c r="AA2" s="1559"/>
      <c r="AB2" s="1559"/>
      <c r="AC2" s="1560"/>
    </row>
    <row r="3" spans="1:29" s="1331" customFormat="1" ht="28.5" customHeight="1" thickBot="1">
      <c r="A3" s="507" t="s">
        <v>788</v>
      </c>
      <c r="B3" s="508" t="e">
        <f>IF(B37="元/平方米",C39,ROUND(B2*10000/D3,0))</f>
        <v>#DIV/0!</v>
      </c>
      <c r="C3" s="848" t="s">
        <v>789</v>
      </c>
      <c r="D3" s="847">
        <f>SUMIF('数据-汇总表'!$C19:$C33,D1,'数据-汇总表'!$E19:$E33)</f>
        <v>0</v>
      </c>
      <c r="E3" s="1843" t="s">
        <v>2071</v>
      </c>
      <c r="F3" s="847">
        <f>SUMIF('数据-取费表'!A5:A15,D1,'数据-取费表'!AH5:AH15)</f>
        <v>0</v>
      </c>
      <c r="G3" s="2123"/>
      <c r="H3" s="2123"/>
      <c r="I3" s="2123"/>
      <c r="J3" s="2123"/>
      <c r="K3" s="2125"/>
      <c r="L3" s="2126"/>
      <c r="M3" s="2127"/>
      <c r="N3" s="2127"/>
      <c r="O3" s="2127"/>
      <c r="P3" s="1559"/>
      <c r="Q3" s="1559"/>
      <c r="R3" s="1559"/>
      <c r="S3" s="1559"/>
      <c r="T3" s="1559"/>
      <c r="U3" s="1559"/>
      <c r="V3" s="1559"/>
      <c r="W3" s="1559"/>
      <c r="X3" s="1559"/>
      <c r="Y3" s="1559"/>
      <c r="Z3" s="1559"/>
      <c r="AA3" s="1559"/>
      <c r="AB3" s="1561"/>
      <c r="AC3" s="426"/>
    </row>
    <row r="4" spans="1:29" ht="15">
      <c r="A4" s="510" t="s">
        <v>790</v>
      </c>
      <c r="B4" s="511"/>
      <c r="C4" s="3469" t="s">
        <v>791</v>
      </c>
      <c r="D4" s="3470"/>
      <c r="E4" s="3469" t="s">
        <v>792</v>
      </c>
      <c r="F4" s="3470"/>
      <c r="G4" s="3469" t="s">
        <v>793</v>
      </c>
      <c r="H4" s="3470"/>
      <c r="I4" s="3469" t="s">
        <v>794</v>
      </c>
      <c r="J4" s="3470"/>
      <c r="K4" s="512" t="s">
        <v>795</v>
      </c>
      <c r="L4" s="2128"/>
      <c r="M4" s="2129"/>
      <c r="N4" s="2129"/>
      <c r="O4" s="2129"/>
      <c r="P4" s="3471" t="s">
        <v>796</v>
      </c>
      <c r="Q4" s="3472"/>
      <c r="R4" s="3457" t="s">
        <v>792</v>
      </c>
      <c r="S4" s="3458"/>
      <c r="T4" s="3457" t="s">
        <v>793</v>
      </c>
      <c r="U4" s="3458"/>
      <c r="V4" s="3477" t="s">
        <v>794</v>
      </c>
      <c r="W4" s="3477"/>
      <c r="X4" s="1562"/>
      <c r="Y4" s="3457" t="s">
        <v>796</v>
      </c>
      <c r="Z4" s="3458"/>
      <c r="AA4" s="3452" t="s">
        <v>792</v>
      </c>
      <c r="AB4" s="3453" t="s">
        <v>793</v>
      </c>
      <c r="AC4" s="3452" t="s">
        <v>794</v>
      </c>
    </row>
    <row r="5" spans="1:29" ht="15">
      <c r="A5" s="513"/>
      <c r="B5" s="514"/>
      <c r="C5" s="3480" t="s">
        <v>2923</v>
      </c>
      <c r="D5" s="3481"/>
      <c r="E5" s="3480" t="s">
        <v>2924</v>
      </c>
      <c r="F5" s="3481"/>
      <c r="G5" s="3480" t="s">
        <v>2925</v>
      </c>
      <c r="H5" s="3481"/>
      <c r="I5" s="3480" t="s">
        <v>2926</v>
      </c>
      <c r="J5" s="3481"/>
      <c r="K5" s="512"/>
      <c r="L5" s="2128"/>
      <c r="M5" s="2129"/>
      <c r="N5" s="2129"/>
      <c r="O5" s="2129"/>
      <c r="P5" s="3473"/>
      <c r="Q5" s="3474"/>
      <c r="R5" s="3459"/>
      <c r="S5" s="3460"/>
      <c r="T5" s="3459"/>
      <c r="U5" s="3460"/>
      <c r="V5" s="3477"/>
      <c r="W5" s="3477"/>
      <c r="X5" s="1562"/>
      <c r="Y5" s="3459"/>
      <c r="Z5" s="3460"/>
      <c r="AA5" s="3453"/>
      <c r="AB5" s="3453"/>
      <c r="AC5" s="3453"/>
    </row>
    <row r="6" spans="1:29" ht="15.75" thickBot="1">
      <c r="A6" s="515"/>
      <c r="B6" s="516"/>
      <c r="C6" s="3478" t="s">
        <v>2927</v>
      </c>
      <c r="D6" s="3479"/>
      <c r="E6" s="3482" t="s">
        <v>2927</v>
      </c>
      <c r="F6" s="3483"/>
      <c r="G6" s="3478" t="s">
        <v>2927</v>
      </c>
      <c r="H6" s="3479"/>
      <c r="I6" s="3478" t="s">
        <v>2927</v>
      </c>
      <c r="J6" s="3479"/>
      <c r="K6" s="512" t="s">
        <v>522</v>
      </c>
      <c r="L6" s="2128"/>
      <c r="M6" s="2129"/>
      <c r="N6" s="2129"/>
      <c r="O6" s="2129"/>
      <c r="P6" s="3475"/>
      <c r="Q6" s="3476"/>
      <c r="R6" s="3459"/>
      <c r="S6" s="3460"/>
      <c r="T6" s="3461"/>
      <c r="U6" s="3462"/>
      <c r="V6" s="3477"/>
      <c r="W6" s="3477"/>
      <c r="X6" s="1562"/>
      <c r="Y6" s="3461"/>
      <c r="Z6" s="3462"/>
      <c r="AA6" s="3454"/>
      <c r="AB6" s="3454"/>
      <c r="AC6" s="3454"/>
    </row>
    <row r="7" spans="1:29" s="1215" customFormat="1" ht="15.75" thickBot="1">
      <c r="A7" s="2933"/>
      <c r="B7" s="2940" t="s">
        <v>523</v>
      </c>
      <c r="C7" s="517">
        <f>'数据-取费表'!B2</f>
        <v>43035</v>
      </c>
      <c r="D7" s="518">
        <v>100</v>
      </c>
      <c r="E7" s="519"/>
      <c r="F7" s="520">
        <f>SUMIF(48:48,YEAR(E7)&amp;"-"&amp;MONTH(E7),49:49)</f>
        <v>0</v>
      </c>
      <c r="G7" s="521"/>
      <c r="H7" s="518">
        <f>SUMIF(48:48,YEAR(G7)&amp;"-"&amp;MONTH(G7),49:49)</f>
        <v>0</v>
      </c>
      <c r="I7" s="521"/>
      <c r="J7" s="518">
        <f>SUMIF(48:48,YEAR(I7)&amp;"-"&amp;MONTH(I7),49:49)</f>
        <v>0</v>
      </c>
      <c r="K7" s="522"/>
      <c r="L7" s="2130"/>
      <c r="M7" s="2131"/>
      <c r="N7" s="2131"/>
      <c r="O7" s="2131"/>
      <c r="P7" s="3455" t="s">
        <v>524</v>
      </c>
      <c r="Q7" s="3464"/>
      <c r="R7" s="1563" t="s">
        <v>8</v>
      </c>
      <c r="S7" s="1564">
        <f t="shared" ref="S7:S14" si="0">F7</f>
        <v>0</v>
      </c>
      <c r="T7" s="1563" t="s">
        <v>8</v>
      </c>
      <c r="U7" s="1564">
        <f t="shared" ref="U7:U14" si="1">H7</f>
        <v>0</v>
      </c>
      <c r="V7" s="1563" t="s">
        <v>8</v>
      </c>
      <c r="W7" s="1564">
        <f t="shared" ref="W7:W14" si="2">J7</f>
        <v>0</v>
      </c>
      <c r="X7" s="1565"/>
      <c r="Y7" s="3455" t="s">
        <v>524</v>
      </c>
      <c r="Z7" s="3456"/>
      <c r="AA7" s="1566" t="e">
        <f>D7/F7</f>
        <v>#DIV/0!</v>
      </c>
      <c r="AB7" s="1566" t="e">
        <f>D7/H7</f>
        <v>#DIV/0!</v>
      </c>
      <c r="AC7" s="1566" t="e">
        <f>D7/J7</f>
        <v>#DIV/0!</v>
      </c>
    </row>
    <row r="8" spans="1:29" s="1215" customFormat="1" ht="15.75" thickBot="1">
      <c r="A8" s="2934"/>
      <c r="B8" s="2941" t="s">
        <v>525</v>
      </c>
      <c r="C8" s="523" t="s">
        <v>570</v>
      </c>
      <c r="D8" s="518">
        <v>100</v>
      </c>
      <c r="E8" s="523"/>
      <c r="F8" s="520">
        <f>SUMIF(51:51,E8,52:52)-SUMIF(51:51,C8,52:52)+100</f>
        <v>0</v>
      </c>
      <c r="G8" s="523"/>
      <c r="H8" s="518">
        <f>SUMIF(51:51,G8,52:52)-SUMIF(51:51,C8,52:52)+100</f>
        <v>0</v>
      </c>
      <c r="I8" s="523"/>
      <c r="J8" s="518">
        <f>SUMIF(51:51,I8,52:52)-SUMIF(51:51,C8,52:52)+100</f>
        <v>0</v>
      </c>
      <c r="K8" s="522"/>
      <c r="L8" s="2130"/>
      <c r="M8" s="2131"/>
      <c r="N8" s="2131"/>
      <c r="O8" s="2131"/>
      <c r="P8" s="3455" t="s">
        <v>527</v>
      </c>
      <c r="Q8" s="3456"/>
      <c r="R8" s="1563" t="s">
        <v>8</v>
      </c>
      <c r="S8" s="1564">
        <f t="shared" si="0"/>
        <v>0</v>
      </c>
      <c r="T8" s="1563" t="s">
        <v>8</v>
      </c>
      <c r="U8" s="1564">
        <f t="shared" si="1"/>
        <v>0</v>
      </c>
      <c r="V8" s="1563" t="s">
        <v>8</v>
      </c>
      <c r="W8" s="1564">
        <f t="shared" si="2"/>
        <v>0</v>
      </c>
      <c r="X8" s="1565"/>
      <c r="Y8" s="3455" t="s">
        <v>527</v>
      </c>
      <c r="Z8" s="3456"/>
      <c r="AA8" s="1566" t="e">
        <f t="shared" ref="AA8:AA36" si="3">D8/F8</f>
        <v>#DIV/0!</v>
      </c>
      <c r="AB8" s="1566" t="e">
        <f t="shared" ref="AB8:AB36" si="4">D8/H8</f>
        <v>#DIV/0!</v>
      </c>
      <c r="AC8" s="1566" t="e">
        <f t="shared" ref="AC8:AC36" si="5">D8/J8</f>
        <v>#DIV/0!</v>
      </c>
    </row>
    <row r="9" spans="1:29" s="1215" customFormat="1" ht="15">
      <c r="A9" s="2935"/>
      <c r="B9" s="2942" t="s">
        <v>2755</v>
      </c>
      <c r="C9" s="853"/>
      <c r="D9" s="249">
        <v>100</v>
      </c>
      <c r="E9" s="856"/>
      <c r="F9" s="249">
        <f>SUMIF(53:53,E9,54:54)-SUMIF(53:53,C9,54:54)+100</f>
        <v>100</v>
      </c>
      <c r="G9" s="854"/>
      <c r="H9" s="249">
        <f>SUMIF(53:53,G9,54:54)-SUMIF(53:53,C9,54:54)+100</f>
        <v>100</v>
      </c>
      <c r="I9" s="854"/>
      <c r="J9" s="249">
        <f>SUMIF(53:53,I9,54:54)-SUMIF(53:53,C9,54:54)+100</f>
        <v>100</v>
      </c>
      <c r="K9" s="522"/>
      <c r="L9" s="2130"/>
      <c r="M9" s="2131"/>
      <c r="N9" s="2131"/>
      <c r="O9" s="2132"/>
      <c r="P9" s="3463" t="s">
        <v>529</v>
      </c>
      <c r="Q9" s="1146" t="str">
        <f t="shared" ref="Q9:Q14" si="6">B9</f>
        <v>用途</v>
      </c>
      <c r="R9" s="1563" t="s">
        <v>8</v>
      </c>
      <c r="S9" s="1564">
        <f t="shared" si="0"/>
        <v>100</v>
      </c>
      <c r="T9" s="1563" t="s">
        <v>8</v>
      </c>
      <c r="U9" s="1564">
        <f t="shared" si="1"/>
        <v>100</v>
      </c>
      <c r="V9" s="1563" t="s">
        <v>8</v>
      </c>
      <c r="W9" s="1564">
        <f t="shared" si="2"/>
        <v>100</v>
      </c>
      <c r="X9" s="1565"/>
      <c r="Y9" s="3420" t="s">
        <v>530</v>
      </c>
      <c r="Z9" s="1145" t="str">
        <f t="shared" ref="Z9:Z14" si="7">Q9</f>
        <v>用途</v>
      </c>
      <c r="AA9" s="1566">
        <f t="shared" si="3"/>
        <v>1</v>
      </c>
      <c r="AB9" s="1566">
        <f t="shared" si="4"/>
        <v>1</v>
      </c>
      <c r="AC9" s="1566">
        <f t="shared" si="5"/>
        <v>1</v>
      </c>
    </row>
    <row r="10" spans="1:29" s="1333" customFormat="1" ht="27">
      <c r="A10" s="2936"/>
      <c r="B10" s="2941" t="s">
        <v>2756</v>
      </c>
      <c r="C10" s="857"/>
      <c r="D10" s="250">
        <v>100</v>
      </c>
      <c r="E10" s="857"/>
      <c r="F10" s="250">
        <f>SUMIF(55:55,E10,56:56)-SUMIF(55:55,C10,56:56)+100</f>
        <v>100</v>
      </c>
      <c r="G10" s="858"/>
      <c r="H10" s="250">
        <f>SUMIF(55:55,G10,56:56)-SUMIF(55:55,C10,56:56)+100</f>
        <v>100</v>
      </c>
      <c r="I10" s="857"/>
      <c r="J10" s="250">
        <f>SUMIF(55:55,I10,56:56)-SUMIF(55:55,C10,56:56)+100</f>
        <v>100</v>
      </c>
      <c r="K10" s="580"/>
      <c r="L10" s="2133"/>
      <c r="M10" s="2173"/>
      <c r="N10" s="2173"/>
      <c r="O10" s="2134"/>
      <c r="P10" s="3463"/>
      <c r="Q10" s="1146" t="str">
        <f t="shared" si="6"/>
        <v>土地使用年限（年）</v>
      </c>
      <c r="R10" s="1563" t="s">
        <v>8</v>
      </c>
      <c r="S10" s="1564">
        <f t="shared" si="0"/>
        <v>100</v>
      </c>
      <c r="T10" s="1563" t="s">
        <v>8</v>
      </c>
      <c r="U10" s="1564">
        <f t="shared" si="1"/>
        <v>100</v>
      </c>
      <c r="V10" s="1563" t="s">
        <v>8</v>
      </c>
      <c r="W10" s="1564">
        <f t="shared" si="2"/>
        <v>100</v>
      </c>
      <c r="X10" s="1565"/>
      <c r="Y10" s="3420"/>
      <c r="Z10" s="1145" t="str">
        <f t="shared" si="7"/>
        <v>土地使用年限（年）</v>
      </c>
      <c r="AA10" s="1566">
        <f t="shared" si="3"/>
        <v>1</v>
      </c>
      <c r="AB10" s="1566">
        <f t="shared" si="4"/>
        <v>1</v>
      </c>
      <c r="AC10" s="1566">
        <f t="shared" si="5"/>
        <v>1</v>
      </c>
    </row>
    <row r="11" spans="1:29" ht="15">
      <c r="A11" s="2938"/>
      <c r="B11" s="2944">
        <v>111</v>
      </c>
      <c r="C11" s="526"/>
      <c r="D11" s="250">
        <v>100</v>
      </c>
      <c r="E11" s="526"/>
      <c r="F11" s="250">
        <f>SUMIF(57:57,E11,58:58)-SUMIF(57:57,C11,58:58)+100</f>
        <v>100</v>
      </c>
      <c r="G11" s="526"/>
      <c r="H11" s="250">
        <f>SUMIF(57:57,G11,58:58)-SUMIF(57:57,C11,58:58)+100</f>
        <v>100</v>
      </c>
      <c r="I11" s="526"/>
      <c r="J11" s="250">
        <f>SUMIF(57:57,I11,58:58)-SUMIF(57:57,C11,58:58)+100</f>
        <v>100</v>
      </c>
      <c r="K11" s="577"/>
      <c r="L11" s="2135"/>
      <c r="M11" s="2129"/>
      <c r="N11" s="2129"/>
      <c r="O11" s="2136"/>
      <c r="P11" s="3463"/>
      <c r="Q11" s="1146">
        <f t="shared" si="6"/>
        <v>111</v>
      </c>
      <c r="R11" s="1563" t="s">
        <v>8</v>
      </c>
      <c r="S11" s="1564">
        <f t="shared" si="0"/>
        <v>100</v>
      </c>
      <c r="T11" s="1563" t="s">
        <v>8</v>
      </c>
      <c r="U11" s="1564">
        <f t="shared" si="1"/>
        <v>100</v>
      </c>
      <c r="V11" s="1563" t="s">
        <v>8</v>
      </c>
      <c r="W11" s="1564">
        <f t="shared" si="2"/>
        <v>100</v>
      </c>
      <c r="X11" s="1565"/>
      <c r="Y11" s="3420"/>
      <c r="Z11" s="1145">
        <f t="shared" si="7"/>
        <v>111</v>
      </c>
      <c r="AA11" s="1566">
        <f t="shared" si="3"/>
        <v>1</v>
      </c>
      <c r="AB11" s="1566">
        <f t="shared" si="4"/>
        <v>1</v>
      </c>
      <c r="AC11" s="1566">
        <f t="shared" si="5"/>
        <v>1</v>
      </c>
    </row>
    <row r="12" spans="1:29" s="1215" customFormat="1" ht="15">
      <c r="A12" s="2938"/>
      <c r="B12" s="2944">
        <v>111</v>
      </c>
      <c r="C12" s="526"/>
      <c r="D12" s="534">
        <v>100</v>
      </c>
      <c r="E12" s="526"/>
      <c r="F12" s="250">
        <f>SUMIF(59:59,E12,60:60)-SUMIF(59:59,C12,60:60)+100</f>
        <v>100</v>
      </c>
      <c r="G12" s="526"/>
      <c r="H12" s="250">
        <f>SUMIF(59:59,G12,60:60)-SUMIF(59:59,C12,60:60)+100</f>
        <v>100</v>
      </c>
      <c r="I12" s="526"/>
      <c r="J12" s="250">
        <f>SUMIF(59:59,I12,60:60)-SUMIF(59:59,C12,60:60)+100</f>
        <v>100</v>
      </c>
      <c r="K12" s="577"/>
      <c r="L12" s="2130"/>
      <c r="M12" s="2131"/>
      <c r="N12" s="2131"/>
      <c r="O12" s="2132"/>
      <c r="P12" s="3463"/>
      <c r="Q12" s="1146">
        <f t="shared" si="6"/>
        <v>111</v>
      </c>
      <c r="R12" s="1563" t="s">
        <v>8</v>
      </c>
      <c r="S12" s="1564">
        <f t="shared" si="0"/>
        <v>100</v>
      </c>
      <c r="T12" s="1563" t="s">
        <v>8</v>
      </c>
      <c r="U12" s="1564">
        <f t="shared" si="1"/>
        <v>100</v>
      </c>
      <c r="V12" s="1563" t="s">
        <v>8</v>
      </c>
      <c r="W12" s="1564">
        <f t="shared" si="2"/>
        <v>100</v>
      </c>
      <c r="X12" s="1565"/>
      <c r="Y12" s="3420"/>
      <c r="Z12" s="1145">
        <f t="shared" si="7"/>
        <v>111</v>
      </c>
      <c r="AA12" s="1566">
        <f>D12/F12</f>
        <v>1</v>
      </c>
      <c r="AB12" s="1566">
        <f>D12/H12</f>
        <v>1</v>
      </c>
      <c r="AC12" s="1566">
        <f>D12/J12</f>
        <v>1</v>
      </c>
    </row>
    <row r="13" spans="1:29" ht="15.75" thickBot="1">
      <c r="A13" s="2939"/>
      <c r="B13" s="2945">
        <v>111</v>
      </c>
      <c r="C13" s="535"/>
      <c r="D13" s="536">
        <v>100</v>
      </c>
      <c r="E13" s="526"/>
      <c r="F13" s="250">
        <f>SUMIF(61:61,E13,62:62)-SUMIF(61:61,C13,62:62)+100</f>
        <v>100</v>
      </c>
      <c r="G13" s="526"/>
      <c r="H13" s="536">
        <f>SUMIF(61:61,G13,62:62)-SUMIF(61:61,C13,62:62)+100</f>
        <v>100</v>
      </c>
      <c r="I13" s="526"/>
      <c r="J13" s="536">
        <f>SUMIF(61:61,I13,62:62)-SUMIF(61:61,C13,62:62)+100</f>
        <v>100</v>
      </c>
      <c r="K13" s="577"/>
      <c r="L13" s="2137"/>
      <c r="M13" s="2129"/>
      <c r="N13" s="2129"/>
      <c r="O13" s="2136"/>
      <c r="P13" s="3463"/>
      <c r="Q13" s="1146">
        <f t="shared" si="6"/>
        <v>111</v>
      </c>
      <c r="R13" s="1563" t="s">
        <v>8</v>
      </c>
      <c r="S13" s="1564">
        <f t="shared" si="0"/>
        <v>100</v>
      </c>
      <c r="T13" s="1563" t="s">
        <v>8</v>
      </c>
      <c r="U13" s="1564">
        <f t="shared" si="1"/>
        <v>100</v>
      </c>
      <c r="V13" s="1563" t="s">
        <v>8</v>
      </c>
      <c r="W13" s="1564">
        <f t="shared" si="2"/>
        <v>100</v>
      </c>
      <c r="X13" s="1565"/>
      <c r="Y13" s="3420"/>
      <c r="Z13" s="1145">
        <f t="shared" si="7"/>
        <v>111</v>
      </c>
      <c r="AA13" s="1566">
        <f t="shared" si="3"/>
        <v>1</v>
      </c>
      <c r="AB13" s="1566">
        <f t="shared" si="4"/>
        <v>1</v>
      </c>
      <c r="AC13" s="1566">
        <f t="shared" si="5"/>
        <v>1</v>
      </c>
    </row>
    <row r="14" spans="1:29" ht="128.25">
      <c r="A14" s="2931" t="s">
        <v>2753</v>
      </c>
      <c r="B14" s="543" t="s">
        <v>537</v>
      </c>
      <c r="C14" s="916" t="str">
        <f>IF(B1="工业",估价对象房地状况!G4,估价对象房地状况!C6)</f>
        <v>估价对象周边1公里有92、840路等公交车及地铁1、9号线经过，公共交通通达情况较好、停车便捷程度较好，综合评价交通便捷度较好</v>
      </c>
      <c r="D14" s="545">
        <v>100</v>
      </c>
      <c r="E14" s="546"/>
      <c r="F14" s="547">
        <f>SUMIF(63:63,E15,64:64)-SUMIF(63:63,C15,64:64)+100</f>
        <v>100</v>
      </c>
      <c r="G14" s="548"/>
      <c r="H14" s="545">
        <f>SUMIF(63:63,G15,64:64)-SUMIF(63:63,C15,64:64)+100</f>
        <v>100</v>
      </c>
      <c r="I14" s="546"/>
      <c r="J14" s="545">
        <f>SUMIF(63:63,I15,64:64)-SUMIF(63:63,C15,64:64)+100</f>
        <v>100</v>
      </c>
      <c r="K14" s="893"/>
      <c r="L14" s="2137"/>
      <c r="M14" s="2129"/>
      <c r="N14" s="2129"/>
      <c r="O14" s="2136"/>
      <c r="P14" s="3465" t="s">
        <v>534</v>
      </c>
      <c r="Q14" s="1567" t="str">
        <f t="shared" si="6"/>
        <v>交通便捷度</v>
      </c>
      <c r="R14" s="1568" t="s">
        <v>8</v>
      </c>
      <c r="S14" s="1569">
        <f t="shared" si="0"/>
        <v>100</v>
      </c>
      <c r="T14" s="1568" t="s">
        <v>8</v>
      </c>
      <c r="U14" s="1569">
        <f t="shared" si="1"/>
        <v>100</v>
      </c>
      <c r="V14" s="1568" t="s">
        <v>8</v>
      </c>
      <c r="W14" s="1569">
        <f t="shared" si="2"/>
        <v>100</v>
      </c>
      <c r="X14" s="1562"/>
      <c r="Y14" s="3465" t="s">
        <v>534</v>
      </c>
      <c r="Z14" s="1570" t="str">
        <f t="shared" si="7"/>
        <v>交通便捷度</v>
      </c>
      <c r="AA14" s="1571">
        <f t="shared" si="3"/>
        <v>1</v>
      </c>
      <c r="AB14" s="1571">
        <f t="shared" si="4"/>
        <v>1</v>
      </c>
      <c r="AC14" s="1571">
        <f t="shared" si="5"/>
        <v>1</v>
      </c>
    </row>
    <row r="15" spans="1:29" ht="15">
      <c r="A15" s="513"/>
      <c r="B15" s="919"/>
      <c r="C15" s="572"/>
      <c r="D15" s="551"/>
      <c r="E15" s="572"/>
      <c r="F15" s="553"/>
      <c r="G15" s="572"/>
      <c r="H15" s="555"/>
      <c r="I15" s="572"/>
      <c r="J15" s="551"/>
      <c r="K15" s="894"/>
      <c r="L15" s="2137"/>
      <c r="M15" s="2129"/>
      <c r="N15" s="2129"/>
      <c r="O15" s="2136"/>
      <c r="P15" s="3466"/>
      <c r="Q15" s="1567"/>
      <c r="R15" s="1568"/>
      <c r="S15" s="1569"/>
      <c r="T15" s="1568"/>
      <c r="U15" s="1569"/>
      <c r="V15" s="1568"/>
      <c r="W15" s="1569"/>
      <c r="X15" s="1562"/>
      <c r="Y15" s="3466"/>
      <c r="Z15" s="1570"/>
      <c r="AA15" s="1571">
        <v>1</v>
      </c>
      <c r="AB15" s="1571">
        <v>1</v>
      </c>
      <c r="AC15" s="1571">
        <v>1</v>
      </c>
    </row>
    <row r="16" spans="1:29" ht="42.75">
      <c r="A16" s="513"/>
      <c r="B16" s="2622" t="s">
        <v>2543</v>
      </c>
      <c r="C16" s="868" t="str">
        <f>IF(B1="工业",估价对象房地状况!G5,估价对象房地状况!C7)</f>
        <v>估价对象所在区域公共配套设施齐备情况一般</v>
      </c>
      <c r="D16" s="561">
        <v>100</v>
      </c>
      <c r="E16" s="568"/>
      <c r="F16" s="567">
        <f>SUMIF(65:65,E17,66:66)-SUMIF(65:65,C17,66:66)+100</f>
        <v>100</v>
      </c>
      <c r="G16" s="568"/>
      <c r="H16" s="561">
        <f>SUMIF(65:65,G17,66:66)-SUMIF(65:65,C17,66:66)+100</f>
        <v>100</v>
      </c>
      <c r="I16" s="566"/>
      <c r="J16" s="561">
        <f>SUMIF(65:65,I17,66:66)-SUMIF(65:65,C17,66:66)+100</f>
        <v>100</v>
      </c>
      <c r="K16" s="893"/>
      <c r="L16" s="2137"/>
      <c r="M16" s="2129"/>
      <c r="N16" s="2129"/>
      <c r="O16" s="2136"/>
      <c r="P16" s="3466"/>
      <c r="Q16" s="1567" t="str">
        <f>B16</f>
        <v>公共配套设施</v>
      </c>
      <c r="R16" s="1568" t="s">
        <v>8</v>
      </c>
      <c r="S16" s="1569">
        <f>F16</f>
        <v>100</v>
      </c>
      <c r="T16" s="1568" t="s">
        <v>8</v>
      </c>
      <c r="U16" s="1569">
        <f>H16</f>
        <v>100</v>
      </c>
      <c r="V16" s="1568" t="s">
        <v>8</v>
      </c>
      <c r="W16" s="1569">
        <f>J16</f>
        <v>100</v>
      </c>
      <c r="X16" s="1562"/>
      <c r="Y16" s="3466"/>
      <c r="Z16" s="1570" t="str">
        <f>Q16</f>
        <v>公共配套设施</v>
      </c>
      <c r="AA16" s="1571">
        <f t="shared" si="3"/>
        <v>1</v>
      </c>
      <c r="AB16" s="1571">
        <f t="shared" si="4"/>
        <v>1</v>
      </c>
      <c r="AC16" s="1571">
        <f t="shared" si="5"/>
        <v>1</v>
      </c>
    </row>
    <row r="17" spans="1:29" ht="15">
      <c r="A17" s="513"/>
      <c r="B17" s="562"/>
      <c r="C17" s="869"/>
      <c r="D17" s="551"/>
      <c r="E17" s="572"/>
      <c r="F17" s="553"/>
      <c r="G17" s="572"/>
      <c r="H17" s="551"/>
      <c r="I17" s="572"/>
      <c r="J17" s="551"/>
      <c r="K17" s="894"/>
      <c r="L17" s="2137"/>
      <c r="M17" s="2129"/>
      <c r="N17" s="2129"/>
      <c r="O17" s="2136"/>
      <c r="P17" s="3466"/>
      <c r="Q17" s="1567"/>
      <c r="R17" s="1568"/>
      <c r="S17" s="1569"/>
      <c r="T17" s="1568"/>
      <c r="U17" s="1569"/>
      <c r="V17" s="1568"/>
      <c r="W17" s="1569"/>
      <c r="X17" s="1562"/>
      <c r="Y17" s="3466"/>
      <c r="Z17" s="1570"/>
      <c r="AA17" s="1571">
        <v>1</v>
      </c>
      <c r="AB17" s="1571">
        <v>1</v>
      </c>
      <c r="AC17" s="1571">
        <v>1</v>
      </c>
    </row>
    <row r="18" spans="1:29" ht="42.75">
      <c r="A18" s="513"/>
      <c r="B18" s="2610" t="s">
        <v>2555</v>
      </c>
      <c r="C18" s="868" t="str">
        <f>IF(B1="工业",估价对象房地状况!G6,估价对象房地状况!C8)</f>
        <v>估价对象所在区域基础设施水平-六通</v>
      </c>
      <c r="D18" s="555">
        <v>100</v>
      </c>
      <c r="E18" s="568"/>
      <c r="F18" s="567">
        <f>SUMIF(67:67,E19,68:68)-SUMIF(67:67,C19,68:68)+100</f>
        <v>100</v>
      </c>
      <c r="G18" s="568"/>
      <c r="H18" s="561">
        <f>SUMIF(67:67,G19,68:68)-SUMIF(67:67,C19,68:68)+100</f>
        <v>100</v>
      </c>
      <c r="I18" s="566"/>
      <c r="J18" s="561">
        <f>SUMIF(67:67,I19,68:68)-SUMIF(67:67,C19,68:68)+100</f>
        <v>100</v>
      </c>
      <c r="K18" s="893"/>
      <c r="L18" s="2137"/>
      <c r="M18" s="2129"/>
      <c r="N18" s="2129"/>
      <c r="O18" s="2136"/>
      <c r="P18" s="3466"/>
      <c r="Q18" s="2598" t="str">
        <f>B18</f>
        <v>基础设施水平</v>
      </c>
      <c r="R18" s="1568" t="s">
        <v>8</v>
      </c>
      <c r="S18" s="1569">
        <f>F18</f>
        <v>100</v>
      </c>
      <c r="T18" s="1568" t="s">
        <v>8</v>
      </c>
      <c r="U18" s="1569">
        <f>H18</f>
        <v>100</v>
      </c>
      <c r="V18" s="1568" t="s">
        <v>8</v>
      </c>
      <c r="W18" s="1569">
        <f>J18</f>
        <v>100</v>
      </c>
      <c r="X18" s="2600"/>
      <c r="Y18" s="3466"/>
      <c r="Z18" s="2599" t="str">
        <f>Q18</f>
        <v>基础设施水平</v>
      </c>
      <c r="AA18" s="1571">
        <f t="shared" ref="AA18" si="8">D18/F18</f>
        <v>1</v>
      </c>
      <c r="AB18" s="1571">
        <f t="shared" ref="AB18" si="9">D18/H18</f>
        <v>1</v>
      </c>
      <c r="AC18" s="1571">
        <f t="shared" ref="AC18" si="10">D18/J18</f>
        <v>1</v>
      </c>
    </row>
    <row r="19" spans="1:29" ht="15">
      <c r="A19" s="513"/>
      <c r="B19" s="574"/>
      <c r="C19" s="869"/>
      <c r="D19" s="555"/>
      <c r="E19" s="572"/>
      <c r="F19" s="553"/>
      <c r="G19" s="572"/>
      <c r="H19" s="551"/>
      <c r="I19" s="572"/>
      <c r="J19" s="551"/>
      <c r="K19" s="2621"/>
      <c r="L19" s="2137"/>
      <c r="M19" s="2129"/>
      <c r="N19" s="2129"/>
      <c r="O19" s="2136"/>
      <c r="P19" s="3466"/>
      <c r="Q19" s="2598"/>
      <c r="R19" s="1568"/>
      <c r="S19" s="1569"/>
      <c r="T19" s="1568"/>
      <c r="U19" s="1569"/>
      <c r="V19" s="1568"/>
      <c r="W19" s="1569"/>
      <c r="X19" s="2600"/>
      <c r="Y19" s="3466"/>
      <c r="Z19" s="2599"/>
      <c r="AA19" s="1571">
        <v>1</v>
      </c>
      <c r="AB19" s="1571">
        <v>1</v>
      </c>
      <c r="AC19" s="1571">
        <v>1</v>
      </c>
    </row>
    <row r="20" spans="1:29" ht="28.5">
      <c r="A20" s="513"/>
      <c r="B20" s="556" t="s">
        <v>797</v>
      </c>
      <c r="C20" s="868" t="str">
        <f>IF(B1="工业",估价对象房地状况!G7,估价对象房地状况!C9)</f>
        <v>周边2公里内区域自然环境较好</v>
      </c>
      <c r="D20" s="561">
        <v>100</v>
      </c>
      <c r="E20" s="558"/>
      <c r="F20" s="559">
        <f>SUMIF(69:69,E21,70:70)-SUMIF(69:69,C21,70:70)+100</f>
        <v>100</v>
      </c>
      <c r="G20" s="560"/>
      <c r="H20" s="555">
        <f>SUMIF(69:69,G21,70:70)-SUMIF(69:69,C21,70:70)+100</f>
        <v>100</v>
      </c>
      <c r="I20" s="558"/>
      <c r="J20" s="555">
        <f>SUMIF(69:69,I21,70:70)-SUMIF(69:69,C21,70:70)+100</f>
        <v>100</v>
      </c>
      <c r="K20" s="893"/>
      <c r="L20" s="2137"/>
      <c r="M20" s="2129"/>
      <c r="N20" s="2129"/>
      <c r="O20" s="2136"/>
      <c r="P20" s="3466"/>
      <c r="Q20" s="1567" t="str">
        <f>B20</f>
        <v>自然及人文环境</v>
      </c>
      <c r="R20" s="1568" t="s">
        <v>8</v>
      </c>
      <c r="S20" s="1569">
        <f>F20</f>
        <v>100</v>
      </c>
      <c r="T20" s="1568" t="s">
        <v>8</v>
      </c>
      <c r="U20" s="1569">
        <f>H20</f>
        <v>100</v>
      </c>
      <c r="V20" s="1568" t="s">
        <v>8</v>
      </c>
      <c r="W20" s="1569">
        <f>J20</f>
        <v>100</v>
      </c>
      <c r="X20" s="1562"/>
      <c r="Y20" s="3466"/>
      <c r="Z20" s="1570" t="str">
        <f>Q20</f>
        <v>自然及人文环境</v>
      </c>
      <c r="AA20" s="1571">
        <f t="shared" si="3"/>
        <v>1</v>
      </c>
      <c r="AB20" s="1571">
        <f t="shared" si="4"/>
        <v>1</v>
      </c>
      <c r="AC20" s="1571">
        <f t="shared" si="5"/>
        <v>1</v>
      </c>
    </row>
    <row r="21" spans="1:29" ht="15">
      <c r="A21" s="513"/>
      <c r="B21" s="562"/>
      <c r="C21" s="572"/>
      <c r="D21" s="551"/>
      <c r="E21" s="572"/>
      <c r="F21" s="553"/>
      <c r="G21" s="572"/>
      <c r="H21" s="551"/>
      <c r="I21" s="572"/>
      <c r="J21" s="551"/>
      <c r="K21" s="894"/>
      <c r="L21" s="2137"/>
      <c r="M21" s="2129"/>
      <c r="N21" s="2129"/>
      <c r="O21" s="2136"/>
      <c r="P21" s="3466"/>
      <c r="Q21" s="1567"/>
      <c r="R21" s="1568"/>
      <c r="S21" s="1569"/>
      <c r="T21" s="1568"/>
      <c r="U21" s="1569"/>
      <c r="V21" s="1568"/>
      <c r="W21" s="1569"/>
      <c r="X21" s="1562"/>
      <c r="Y21" s="3466"/>
      <c r="Z21" s="1570"/>
      <c r="AA21" s="1571">
        <v>1</v>
      </c>
      <c r="AB21" s="1571">
        <v>1</v>
      </c>
      <c r="AC21" s="1571">
        <v>1</v>
      </c>
    </row>
    <row r="22" spans="1:29" ht="15">
      <c r="A22" s="513"/>
      <c r="B22" s="556" t="s">
        <v>798</v>
      </c>
      <c r="C22" s="579"/>
      <c r="D22" s="555">
        <v>100</v>
      </c>
      <c r="E22" s="579"/>
      <c r="F22" s="571">
        <f>SUMIF(71:71,E22,72:72)-SUMIF(71:71,C22,72:72)+100</f>
        <v>100</v>
      </c>
      <c r="G22" s="579"/>
      <c r="H22" s="536">
        <f>SUMIF(71:71,G22,72:72)-SUMIF(71:71,C22,72:72)+100</f>
        <v>100</v>
      </c>
      <c r="I22" s="579"/>
      <c r="J22" s="536">
        <f>SUMIF(71:71,I22,72:72)-SUMIF(71:71,C22,72:72)+100</f>
        <v>100</v>
      </c>
      <c r="K22" s="580"/>
      <c r="L22" s="2137"/>
      <c r="M22" s="2129"/>
      <c r="N22" s="2129"/>
      <c r="O22" s="2136"/>
      <c r="P22" s="3466"/>
      <c r="Q22" s="1567" t="str">
        <f>B22</f>
        <v>楼层</v>
      </c>
      <c r="R22" s="1568" t="s">
        <v>8</v>
      </c>
      <c r="S22" s="1569">
        <f>F22</f>
        <v>100</v>
      </c>
      <c r="T22" s="1568" t="s">
        <v>8</v>
      </c>
      <c r="U22" s="1569">
        <f>H22</f>
        <v>100</v>
      </c>
      <c r="V22" s="1568" t="s">
        <v>8</v>
      </c>
      <c r="W22" s="1569">
        <f>J22</f>
        <v>100</v>
      </c>
      <c r="X22" s="1562"/>
      <c r="Y22" s="3466"/>
      <c r="Z22" s="1570" t="str">
        <f>Q22</f>
        <v>楼层</v>
      </c>
      <c r="AA22" s="1571">
        <f t="shared" si="3"/>
        <v>1</v>
      </c>
      <c r="AB22" s="1571">
        <f t="shared" si="4"/>
        <v>1</v>
      </c>
      <c r="AC22" s="1571">
        <f t="shared" si="5"/>
        <v>1</v>
      </c>
    </row>
    <row r="23" spans="1:29" ht="15">
      <c r="A23" s="513"/>
      <c r="B23" s="920">
        <v>111</v>
      </c>
      <c r="C23" s="526"/>
      <c r="D23" s="536">
        <v>100</v>
      </c>
      <c r="E23" s="526"/>
      <c r="F23" s="571">
        <f>SUMIF(73:73,E23,74:74)-SUMIF(73:73,C23,74:74)+100</f>
        <v>100</v>
      </c>
      <c r="G23" s="526"/>
      <c r="H23" s="536">
        <f>SUMIF(73:73,G23,74:74)-SUMIF(73:73,C23,74:74)+100</f>
        <v>100</v>
      </c>
      <c r="I23" s="526"/>
      <c r="J23" s="536">
        <f>SUMIF(73:73,I23,74:74)-SUMIF(73:73,C23,74:74)+100</f>
        <v>100</v>
      </c>
      <c r="K23" s="577"/>
      <c r="L23" s="2137"/>
      <c r="M23" s="2129"/>
      <c r="N23" s="2129"/>
      <c r="O23" s="2136"/>
      <c r="P23" s="3466"/>
      <c r="Q23" s="1567">
        <f>B23</f>
        <v>111</v>
      </c>
      <c r="R23" s="1568" t="s">
        <v>8</v>
      </c>
      <c r="S23" s="1569">
        <f>F23</f>
        <v>100</v>
      </c>
      <c r="T23" s="1568" t="s">
        <v>8</v>
      </c>
      <c r="U23" s="1569">
        <f>H23</f>
        <v>100</v>
      </c>
      <c r="V23" s="1568" t="s">
        <v>8</v>
      </c>
      <c r="W23" s="1569">
        <f>J23</f>
        <v>100</v>
      </c>
      <c r="X23" s="1562"/>
      <c r="Y23" s="3466"/>
      <c r="Z23" s="1570">
        <f>Q23</f>
        <v>111</v>
      </c>
      <c r="AA23" s="1571">
        <f t="shared" si="3"/>
        <v>1</v>
      </c>
      <c r="AB23" s="1571">
        <f t="shared" si="4"/>
        <v>1</v>
      </c>
      <c r="AC23" s="1571">
        <f t="shared" si="5"/>
        <v>1</v>
      </c>
    </row>
    <row r="24" spans="1:29" ht="15">
      <c r="A24" s="513"/>
      <c r="B24" s="920">
        <v>111</v>
      </c>
      <c r="C24" s="526"/>
      <c r="D24" s="536">
        <v>100</v>
      </c>
      <c r="E24" s="526"/>
      <c r="F24" s="571">
        <f>SUMIF(75:75,E24,76:76)-SUMIF(75:75,C24,76:76)+100</f>
        <v>100</v>
      </c>
      <c r="G24" s="526"/>
      <c r="H24" s="536">
        <f>SUMIF(75:75,G24,76:76)-SUMIF(75:75,C24,76:76)+100</f>
        <v>100</v>
      </c>
      <c r="I24" s="526"/>
      <c r="J24" s="536">
        <f>SUMIF(75:75,I24,76:76)-SUMIF(75:75,C24,76:76)+100</f>
        <v>100</v>
      </c>
      <c r="K24" s="577"/>
      <c r="L24" s="2137"/>
      <c r="M24" s="2129"/>
      <c r="N24" s="2129"/>
      <c r="O24" s="2136"/>
      <c r="P24" s="3466"/>
      <c r="Q24" s="1567">
        <f t="shared" ref="Q24:Q36" si="11">B24</f>
        <v>111</v>
      </c>
      <c r="R24" s="1568" t="s">
        <v>8</v>
      </c>
      <c r="S24" s="1569">
        <f>F24</f>
        <v>100</v>
      </c>
      <c r="T24" s="1568" t="s">
        <v>8</v>
      </c>
      <c r="U24" s="1569">
        <f>H24</f>
        <v>100</v>
      </c>
      <c r="V24" s="1568" t="s">
        <v>8</v>
      </c>
      <c r="W24" s="1569">
        <f>J24</f>
        <v>100</v>
      </c>
      <c r="X24" s="1562"/>
      <c r="Y24" s="3466"/>
      <c r="Z24" s="1570">
        <f>Q24</f>
        <v>111</v>
      </c>
      <c r="AA24" s="1571">
        <f t="shared" si="3"/>
        <v>1</v>
      </c>
      <c r="AB24" s="1571">
        <f t="shared" si="4"/>
        <v>1</v>
      </c>
      <c r="AC24" s="1571">
        <f t="shared" si="5"/>
        <v>1</v>
      </c>
    </row>
    <row r="25" spans="1:29" s="1215" customFormat="1" ht="15.75" thickBot="1">
      <c r="A25" s="573"/>
      <c r="B25" s="909">
        <v>111</v>
      </c>
      <c r="C25" s="541"/>
      <c r="D25" s="921">
        <v>100</v>
      </c>
      <c r="E25" s="906"/>
      <c r="F25" s="922">
        <f>SUMIF(77:77,E25,78:78)-SUMIF(77:77,C25,78:78)+100</f>
        <v>100</v>
      </c>
      <c r="G25" s="906"/>
      <c r="H25" s="921">
        <f>SUMIF(77:77,G25,78:78)-SUMIF(77:77,C25,78:78)+100</f>
        <v>100</v>
      </c>
      <c r="I25" s="906"/>
      <c r="J25" s="921">
        <f>SUMIF(77:77,I25,78:78)-SUMIF(77:77,C25,78:78)+100</f>
        <v>100</v>
      </c>
      <c r="K25" s="577"/>
      <c r="L25" s="2130"/>
      <c r="M25" s="2131"/>
      <c r="N25" s="2131"/>
      <c r="O25" s="2132"/>
      <c r="P25" s="3466"/>
      <c r="Q25" s="1146">
        <f t="shared" si="11"/>
        <v>111</v>
      </c>
      <c r="R25" s="1563" t="s">
        <v>8</v>
      </c>
      <c r="S25" s="1564">
        <f>F25</f>
        <v>100</v>
      </c>
      <c r="T25" s="1563" t="s">
        <v>8</v>
      </c>
      <c r="U25" s="1564">
        <f>H25</f>
        <v>100</v>
      </c>
      <c r="V25" s="1563" t="s">
        <v>8</v>
      </c>
      <c r="W25" s="1564">
        <f>J25</f>
        <v>100</v>
      </c>
      <c r="X25" s="1565"/>
      <c r="Y25" s="3466"/>
      <c r="Z25" s="1145">
        <f>Q25</f>
        <v>111</v>
      </c>
      <c r="AA25" s="1571">
        <f>D25/F25</f>
        <v>1</v>
      </c>
      <c r="AB25" s="1571">
        <f>D25/H25</f>
        <v>1</v>
      </c>
      <c r="AC25" s="1571">
        <f>D25/J25</f>
        <v>1</v>
      </c>
    </row>
    <row r="26" spans="1:29" ht="15">
      <c r="A26" s="2928" t="s">
        <v>2754</v>
      </c>
      <c r="B26" s="169" t="s">
        <v>799</v>
      </c>
      <c r="C26" s="923">
        <f>B1</f>
        <v>0</v>
      </c>
      <c r="D26" s="551">
        <v>100</v>
      </c>
      <c r="E26" s="572"/>
      <c r="F26" s="553">
        <f>SUMIF(79:79,E26,80:80)-SUMIF(79:79,C26,80:80)+100</f>
        <v>100</v>
      </c>
      <c r="G26" s="572"/>
      <c r="H26" s="551">
        <f>SUMIF(79:79,G26,80:80)-SUMIF(79:79,C26,80:80)+100</f>
        <v>100</v>
      </c>
      <c r="I26" s="572"/>
      <c r="J26" s="551">
        <f>SUMIF(79:79,I26,80:80)-SUMIF(79:79,C26,80:80)+100</f>
        <v>100</v>
      </c>
      <c r="K26" s="580"/>
      <c r="L26" s="2137"/>
      <c r="M26" s="2129"/>
      <c r="N26" s="2129"/>
      <c r="O26" s="2136"/>
      <c r="P26" s="3467" t="s">
        <v>544</v>
      </c>
      <c r="Q26" s="1567" t="str">
        <f t="shared" si="11"/>
        <v>配套类型</v>
      </c>
      <c r="R26" s="1568" t="s">
        <v>8</v>
      </c>
      <c r="S26" s="1569">
        <f t="shared" ref="S26:S36" si="12">F26</f>
        <v>100</v>
      </c>
      <c r="T26" s="1568" t="s">
        <v>8</v>
      </c>
      <c r="U26" s="1569">
        <f t="shared" ref="U26:U36" si="13">H26</f>
        <v>100</v>
      </c>
      <c r="V26" s="1568" t="s">
        <v>8</v>
      </c>
      <c r="W26" s="1569">
        <f t="shared" ref="W26:W36" si="14">J26</f>
        <v>100</v>
      </c>
      <c r="X26" s="1562"/>
      <c r="Y26" s="3468" t="s">
        <v>544</v>
      </c>
      <c r="Z26" s="1570" t="str">
        <f t="shared" ref="Z26:Z36" si="15">Q26</f>
        <v>配套类型</v>
      </c>
      <c r="AA26" s="1571">
        <f t="shared" si="3"/>
        <v>1</v>
      </c>
      <c r="AB26" s="1571">
        <f t="shared" si="4"/>
        <v>1</v>
      </c>
      <c r="AC26" s="1571">
        <f t="shared" si="5"/>
        <v>1</v>
      </c>
    </row>
    <row r="27" spans="1:29" s="1334" customFormat="1" ht="15">
      <c r="A27" s="924"/>
      <c r="B27" s="578" t="s">
        <v>800</v>
      </c>
      <c r="C27" s="925"/>
      <c r="D27" s="250">
        <v>100</v>
      </c>
      <c r="E27" s="925"/>
      <c r="F27" s="571">
        <f>SUMIF(81:81,E27,82:82)-SUMIF(81:81,C27,82:82)+100</f>
        <v>100</v>
      </c>
      <c r="G27" s="925"/>
      <c r="H27" s="536">
        <f>SUMIF(81:81,G27,82:82)-SUMIF(81:81,C27,82:82)+100</f>
        <v>100</v>
      </c>
      <c r="I27" s="925"/>
      <c r="J27" s="536">
        <f>SUMIF(81:81,I27,82:82)-SUMIF(81:81,C27,82:82)+100</f>
        <v>100</v>
      </c>
      <c r="K27" s="577"/>
      <c r="L27" s="2135"/>
      <c r="M27" s="2166"/>
      <c r="N27" s="2166"/>
      <c r="O27" s="2138"/>
      <c r="P27" s="3468"/>
      <c r="Q27" s="1600" t="str">
        <f t="shared" si="11"/>
        <v>项目停车位配比</v>
      </c>
      <c r="R27" s="1572" t="s">
        <v>8</v>
      </c>
      <c r="S27" s="1573">
        <f t="shared" si="12"/>
        <v>100</v>
      </c>
      <c r="T27" s="1572" t="s">
        <v>8</v>
      </c>
      <c r="U27" s="1573">
        <f t="shared" si="13"/>
        <v>100</v>
      </c>
      <c r="V27" s="1572" t="s">
        <v>8</v>
      </c>
      <c r="W27" s="1573">
        <f t="shared" si="14"/>
        <v>100</v>
      </c>
      <c r="X27" s="1574"/>
      <c r="Y27" s="3468"/>
      <c r="Z27" s="1575" t="str">
        <f t="shared" si="15"/>
        <v>项目停车位配比</v>
      </c>
      <c r="AA27" s="1571">
        <f t="shared" si="3"/>
        <v>1</v>
      </c>
      <c r="AB27" s="1571">
        <f t="shared" si="4"/>
        <v>1</v>
      </c>
      <c r="AC27" s="1571">
        <f t="shared" si="5"/>
        <v>1</v>
      </c>
    </row>
    <row r="28" spans="1:29" ht="15">
      <c r="A28" s="926"/>
      <c r="B28" s="578" t="s">
        <v>801</v>
      </c>
      <c r="C28" s="570"/>
      <c r="D28" s="536">
        <v>100</v>
      </c>
      <c r="E28" s="570"/>
      <c r="F28" s="571">
        <f>SUMIF(83:83,E28,84:84)-SUMIF(83:83,C28,84:84)+100</f>
        <v>100</v>
      </c>
      <c r="G28" s="570"/>
      <c r="H28" s="536">
        <f>SUMIF(83:83,G28,84:84)-SUMIF(83:83,C28,84:84)+100</f>
        <v>100</v>
      </c>
      <c r="I28" s="570"/>
      <c r="J28" s="536">
        <f>SUMIF(83:83,I28,84:84)-SUMIF(83:83,C28,84:84)+100</f>
        <v>100</v>
      </c>
      <c r="K28" s="580"/>
      <c r="L28" s="2137"/>
      <c r="M28" s="2129"/>
      <c r="N28" s="2129"/>
      <c r="O28" s="2136"/>
      <c r="P28" s="3468"/>
      <c r="Q28" s="1567" t="str">
        <f t="shared" si="11"/>
        <v>公共部分装修</v>
      </c>
      <c r="R28" s="1568" t="s">
        <v>8</v>
      </c>
      <c r="S28" s="1569">
        <f t="shared" si="12"/>
        <v>100</v>
      </c>
      <c r="T28" s="1568" t="s">
        <v>8</v>
      </c>
      <c r="U28" s="1569">
        <f t="shared" si="13"/>
        <v>100</v>
      </c>
      <c r="V28" s="1568" t="s">
        <v>8</v>
      </c>
      <c r="W28" s="1569">
        <f t="shared" si="14"/>
        <v>100</v>
      </c>
      <c r="X28" s="1562"/>
      <c r="Y28" s="3468"/>
      <c r="Z28" s="1570" t="str">
        <f t="shared" si="15"/>
        <v>公共部分装修</v>
      </c>
      <c r="AA28" s="1571">
        <f t="shared" si="3"/>
        <v>1</v>
      </c>
      <c r="AB28" s="1571">
        <f t="shared" si="4"/>
        <v>1</v>
      </c>
      <c r="AC28" s="1571">
        <f t="shared" si="5"/>
        <v>1</v>
      </c>
    </row>
    <row r="29" spans="1:29" ht="15">
      <c r="A29" s="926"/>
      <c r="B29" s="578" t="s">
        <v>802</v>
      </c>
      <c r="C29" s="875"/>
      <c r="D29" s="536">
        <v>100</v>
      </c>
      <c r="E29" s="878"/>
      <c r="F29" s="571" t="e">
        <f>LOOKUP(E29,86:86,87:87)-LOOKUP(C29,86:86,87:87)+100</f>
        <v>#N/A</v>
      </c>
      <c r="G29" s="878"/>
      <c r="H29" s="571" t="e">
        <f>LOOKUP(G29,86:86,87:87)-LOOKUP(C29,86:86,87:87)+100</f>
        <v>#N/A</v>
      </c>
      <c r="I29" s="878"/>
      <c r="J29" s="536" t="e">
        <f>LOOKUP(I29,86:86,87:87)-LOOKUP(C29,86:86,87:87)+100</f>
        <v>#N/A</v>
      </c>
      <c r="K29" s="580"/>
      <c r="L29" s="2137"/>
      <c r="M29" s="2129"/>
      <c r="N29" s="2129"/>
      <c r="O29" s="2136"/>
      <c r="P29" s="3468"/>
      <c r="Q29" s="1567" t="str">
        <f t="shared" si="11"/>
        <v>成新率</v>
      </c>
      <c r="R29" s="1568" t="s">
        <v>8</v>
      </c>
      <c r="S29" s="1569" t="e">
        <f t="shared" si="12"/>
        <v>#N/A</v>
      </c>
      <c r="T29" s="1568" t="s">
        <v>8</v>
      </c>
      <c r="U29" s="1569" t="e">
        <f t="shared" si="13"/>
        <v>#N/A</v>
      </c>
      <c r="V29" s="1568" t="s">
        <v>8</v>
      </c>
      <c r="W29" s="1569" t="e">
        <f t="shared" si="14"/>
        <v>#N/A</v>
      </c>
      <c r="X29" s="1562"/>
      <c r="Y29" s="3468"/>
      <c r="Z29" s="1570" t="str">
        <f t="shared" si="15"/>
        <v>成新率</v>
      </c>
      <c r="AA29" s="1571" t="e">
        <f t="shared" si="3"/>
        <v>#N/A</v>
      </c>
      <c r="AB29" s="1571" t="e">
        <f t="shared" si="4"/>
        <v>#N/A</v>
      </c>
      <c r="AC29" s="1571" t="e">
        <f t="shared" si="5"/>
        <v>#N/A</v>
      </c>
    </row>
    <row r="30" spans="1:29" ht="15">
      <c r="A30" s="926"/>
      <c r="B30" s="578" t="s">
        <v>803</v>
      </c>
      <c r="C30" s="927"/>
      <c r="D30" s="536">
        <v>100</v>
      </c>
      <c r="E30" s="927"/>
      <c r="F30" s="571">
        <f>SUMIF(88:88,E30,89:89)-SUMIF(88:88,C30,89:89)+100</f>
        <v>100</v>
      </c>
      <c r="G30" s="927"/>
      <c r="H30" s="536">
        <f>SUMIF(88:88,E30,89:89)-SUMIF(88:88,C30,89:89)+100</f>
        <v>100</v>
      </c>
      <c r="I30" s="927"/>
      <c r="J30" s="536">
        <f>SUMIF(88:88,E30,89:89)-SUMIF(88:88,C30,89:89)+100</f>
        <v>100</v>
      </c>
      <c r="K30" s="580"/>
      <c r="L30" s="2137"/>
      <c r="M30" s="2129"/>
      <c r="N30" s="2129"/>
      <c r="O30" s="2136"/>
      <c r="P30" s="3468"/>
      <c r="Q30" s="1567" t="str">
        <f t="shared" si="11"/>
        <v>物业等级</v>
      </c>
      <c r="R30" s="1568" t="s">
        <v>8</v>
      </c>
      <c r="S30" s="1569">
        <f t="shared" si="12"/>
        <v>100</v>
      </c>
      <c r="T30" s="1568" t="s">
        <v>8</v>
      </c>
      <c r="U30" s="1569">
        <f t="shared" si="13"/>
        <v>100</v>
      </c>
      <c r="V30" s="1568" t="s">
        <v>8</v>
      </c>
      <c r="W30" s="1569">
        <f t="shared" si="14"/>
        <v>100</v>
      </c>
      <c r="X30" s="1562"/>
      <c r="Y30" s="3468"/>
      <c r="Z30" s="1570" t="str">
        <f t="shared" si="15"/>
        <v>物业等级</v>
      </c>
      <c r="AA30" s="1571">
        <f t="shared" si="3"/>
        <v>1</v>
      </c>
      <c r="AB30" s="1571">
        <f t="shared" si="4"/>
        <v>1</v>
      </c>
      <c r="AC30" s="1571">
        <f t="shared" si="5"/>
        <v>1</v>
      </c>
    </row>
    <row r="31" spans="1:29" s="1215" customFormat="1" ht="15">
      <c r="A31" s="928"/>
      <c r="B31" s="578" t="s">
        <v>804</v>
      </c>
      <c r="C31" s="875"/>
      <c r="D31" s="250">
        <v>100</v>
      </c>
      <c r="E31" s="875"/>
      <c r="F31" s="571" t="e">
        <f>LOOKUP(E31,91:91,92:92)-LOOKUP(C31,91:91,92:92)+100</f>
        <v>#N/A</v>
      </c>
      <c r="G31" s="875"/>
      <c r="H31" s="536" t="e">
        <f>LOOKUP(G31,91:91,92:92)-LOOKUP(C31,91:91,92:92)+100</f>
        <v>#N/A</v>
      </c>
      <c r="I31" s="875"/>
      <c r="J31" s="536" t="e">
        <f>LOOKUP(I31,91:91,92:92)-LOOKUP(C31,91:91,92:92)+100</f>
        <v>#N/A</v>
      </c>
      <c r="K31" s="580"/>
      <c r="L31" s="2130"/>
      <c r="M31" s="2131"/>
      <c r="N31" s="2131"/>
      <c r="O31" s="2132"/>
      <c r="P31" s="3468"/>
      <c r="Q31" s="1146" t="str">
        <f t="shared" si="11"/>
        <v>停车位面积</v>
      </c>
      <c r="R31" s="1563" t="s">
        <v>8</v>
      </c>
      <c r="S31" s="1564" t="e">
        <f t="shared" si="12"/>
        <v>#N/A</v>
      </c>
      <c r="T31" s="1563" t="s">
        <v>8</v>
      </c>
      <c r="U31" s="1564" t="e">
        <f t="shared" si="13"/>
        <v>#N/A</v>
      </c>
      <c r="V31" s="1563" t="s">
        <v>8</v>
      </c>
      <c r="W31" s="1564" t="e">
        <f t="shared" si="14"/>
        <v>#N/A</v>
      </c>
      <c r="X31" s="1565"/>
      <c r="Y31" s="3468"/>
      <c r="Z31" s="1145" t="str">
        <f t="shared" si="15"/>
        <v>停车位面积</v>
      </c>
      <c r="AA31" s="1566" t="e">
        <f t="shared" si="3"/>
        <v>#N/A</v>
      </c>
      <c r="AB31" s="1566" t="e">
        <f t="shared" si="4"/>
        <v>#N/A</v>
      </c>
      <c r="AC31" s="1566" t="e">
        <f t="shared" si="5"/>
        <v>#N/A</v>
      </c>
    </row>
    <row r="32" spans="1:29" ht="15">
      <c r="A32" s="926"/>
      <c r="B32" s="578" t="s">
        <v>805</v>
      </c>
      <c r="C32" s="570"/>
      <c r="D32" s="536">
        <v>100</v>
      </c>
      <c r="E32" s="570"/>
      <c r="F32" s="571">
        <f>SUMIF(93:93,E32,94:94)-SUMIF(93:93,C32,94:94)+100</f>
        <v>100</v>
      </c>
      <c r="G32" s="570"/>
      <c r="H32" s="536">
        <f>SUMIF(93:93,G32,94:94)-SUMIF(93:93,C32,94:94)+100</f>
        <v>100</v>
      </c>
      <c r="I32" s="570"/>
      <c r="J32" s="536">
        <f>SUMIF(93:93,I32,94:94)-SUMIF(93:93,C32,94:94)+100</f>
        <v>100</v>
      </c>
      <c r="K32" s="580"/>
      <c r="L32" s="2137"/>
      <c r="M32" s="2129"/>
      <c r="N32" s="2129"/>
      <c r="O32" s="2136"/>
      <c r="P32" s="3468" t="s">
        <v>544</v>
      </c>
      <c r="Q32" s="1567" t="str">
        <f t="shared" si="11"/>
        <v>车位类型</v>
      </c>
      <c r="R32" s="1568" t="s">
        <v>8</v>
      </c>
      <c r="S32" s="1569">
        <f t="shared" si="12"/>
        <v>100</v>
      </c>
      <c r="T32" s="1568" t="s">
        <v>8</v>
      </c>
      <c r="U32" s="1569">
        <f t="shared" si="13"/>
        <v>100</v>
      </c>
      <c r="V32" s="1568" t="s">
        <v>8</v>
      </c>
      <c r="W32" s="1569">
        <f t="shared" si="14"/>
        <v>100</v>
      </c>
      <c r="X32" s="1562"/>
      <c r="Y32" s="3468" t="s">
        <v>544</v>
      </c>
      <c r="Z32" s="1570" t="str">
        <f t="shared" si="15"/>
        <v>车位类型</v>
      </c>
      <c r="AA32" s="1571">
        <f t="shared" si="3"/>
        <v>1</v>
      </c>
      <c r="AB32" s="1571">
        <f t="shared" si="4"/>
        <v>1</v>
      </c>
      <c r="AC32" s="1571">
        <f t="shared" si="5"/>
        <v>1</v>
      </c>
    </row>
    <row r="33" spans="1:29" ht="15">
      <c r="A33" s="926"/>
      <c r="B33" s="578" t="s">
        <v>806</v>
      </c>
      <c r="C33" s="570"/>
      <c r="D33" s="536">
        <v>100</v>
      </c>
      <c r="E33" s="570"/>
      <c r="F33" s="571">
        <f>SUMIF(95:95,E33,96:96)-SUMIF(95:95,C33,96:96)+100</f>
        <v>100</v>
      </c>
      <c r="G33" s="570"/>
      <c r="H33" s="536">
        <f>SUMIF(95:95,G33,96:96)-SUMIF(95:95,C33,96:96)+100</f>
        <v>100</v>
      </c>
      <c r="I33" s="570"/>
      <c r="J33" s="536">
        <f>SUMIF(95:95,I33,96:96)-SUMIF(95:95,C33,96:96)+100</f>
        <v>100</v>
      </c>
      <c r="K33" s="580"/>
      <c r="L33" s="2137"/>
      <c r="M33" s="2129"/>
      <c r="N33" s="2129"/>
      <c r="O33" s="2136"/>
      <c r="P33" s="3468"/>
      <c r="Q33" s="1567" t="str">
        <f t="shared" si="11"/>
        <v>是否直接入户</v>
      </c>
      <c r="R33" s="1568" t="s">
        <v>8</v>
      </c>
      <c r="S33" s="1569">
        <f t="shared" si="12"/>
        <v>100</v>
      </c>
      <c r="T33" s="1568" t="s">
        <v>8</v>
      </c>
      <c r="U33" s="1569">
        <f t="shared" si="13"/>
        <v>100</v>
      </c>
      <c r="V33" s="1568" t="s">
        <v>8</v>
      </c>
      <c r="W33" s="1569">
        <f t="shared" si="14"/>
        <v>100</v>
      </c>
      <c r="X33" s="1562"/>
      <c r="Y33" s="3468"/>
      <c r="Z33" s="1570" t="str">
        <f t="shared" si="15"/>
        <v>是否直接入户</v>
      </c>
      <c r="AA33" s="1571">
        <f t="shared" si="3"/>
        <v>1</v>
      </c>
      <c r="AB33" s="1571">
        <f t="shared" si="4"/>
        <v>1</v>
      </c>
      <c r="AC33" s="1571">
        <f t="shared" si="5"/>
        <v>1</v>
      </c>
    </row>
    <row r="34" spans="1:29" ht="15">
      <c r="A34" s="926"/>
      <c r="B34" s="920">
        <v>111</v>
      </c>
      <c r="C34" s="526"/>
      <c r="D34" s="536">
        <v>100</v>
      </c>
      <c r="E34" s="526"/>
      <c r="F34" s="571">
        <f>SUMIF(97:97,E34,98:98)-SUMIF(97:97,C34,98:98)+100</f>
        <v>100</v>
      </c>
      <c r="G34" s="526"/>
      <c r="H34" s="536">
        <f>SUMIF(97:97,G34,98:98)-SUMIF(97:97,C34,98:98)+100</f>
        <v>100</v>
      </c>
      <c r="I34" s="526"/>
      <c r="J34" s="536">
        <f>SUMIF(97:97,I34,98:98)-SUMIF(97:97,C34,98:98)+100</f>
        <v>100</v>
      </c>
      <c r="K34" s="577"/>
      <c r="L34" s="2137"/>
      <c r="M34" s="2129"/>
      <c r="N34" s="2129"/>
      <c r="O34" s="2136"/>
      <c r="P34" s="3468"/>
      <c r="Q34" s="1567">
        <f t="shared" si="11"/>
        <v>111</v>
      </c>
      <c r="R34" s="1568" t="s">
        <v>8</v>
      </c>
      <c r="S34" s="1569">
        <f t="shared" si="12"/>
        <v>100</v>
      </c>
      <c r="T34" s="1568" t="s">
        <v>8</v>
      </c>
      <c r="U34" s="1569">
        <f t="shared" si="13"/>
        <v>100</v>
      </c>
      <c r="V34" s="1568" t="s">
        <v>8</v>
      </c>
      <c r="W34" s="1569">
        <f t="shared" si="14"/>
        <v>100</v>
      </c>
      <c r="X34" s="1562"/>
      <c r="Y34" s="3468"/>
      <c r="Z34" s="1570">
        <f t="shared" si="15"/>
        <v>111</v>
      </c>
      <c r="AA34" s="1571">
        <f t="shared" si="3"/>
        <v>1</v>
      </c>
      <c r="AB34" s="1571">
        <f t="shared" si="4"/>
        <v>1</v>
      </c>
      <c r="AC34" s="1571">
        <f t="shared" si="5"/>
        <v>1</v>
      </c>
    </row>
    <row r="35" spans="1:29" s="1334" customFormat="1" ht="15">
      <c r="A35" s="924"/>
      <c r="B35" s="920">
        <v>111</v>
      </c>
      <c r="C35" s="526"/>
      <c r="D35" s="536">
        <v>100</v>
      </c>
      <c r="E35" s="526"/>
      <c r="F35" s="571">
        <f>SUMIF(99:99,E35,100:100)-SUMIF(99:99,C35,100:100)+100</f>
        <v>100</v>
      </c>
      <c r="G35" s="526"/>
      <c r="H35" s="536">
        <f>SUMIF(99:99,G35,100:100)-SUMIF(99:99,C35,100:100)+100</f>
        <v>100</v>
      </c>
      <c r="I35" s="526"/>
      <c r="J35" s="536">
        <f>SUMIF(99:99,I35,100:100)-SUMIF(99:99,C35,100:100)+100</f>
        <v>100</v>
      </c>
      <c r="K35" s="577"/>
      <c r="L35" s="2135"/>
      <c r="M35" s="2166"/>
      <c r="N35" s="2166"/>
      <c r="O35" s="2138"/>
      <c r="P35" s="3468"/>
      <c r="Q35" s="1600">
        <f t="shared" si="11"/>
        <v>111</v>
      </c>
      <c r="R35" s="1572" t="s">
        <v>8</v>
      </c>
      <c r="S35" s="1573">
        <f t="shared" si="12"/>
        <v>100</v>
      </c>
      <c r="T35" s="1572" t="s">
        <v>8</v>
      </c>
      <c r="U35" s="1573">
        <f t="shared" si="13"/>
        <v>100</v>
      </c>
      <c r="V35" s="1572" t="s">
        <v>8</v>
      </c>
      <c r="W35" s="1573">
        <f t="shared" si="14"/>
        <v>100</v>
      </c>
      <c r="X35" s="1574"/>
      <c r="Y35" s="3468"/>
      <c r="Z35" s="1575">
        <f t="shared" si="15"/>
        <v>111</v>
      </c>
      <c r="AA35" s="1571">
        <f t="shared" si="3"/>
        <v>1</v>
      </c>
      <c r="AB35" s="1571">
        <f t="shared" si="4"/>
        <v>1</v>
      </c>
      <c r="AC35" s="1571">
        <f t="shared" si="5"/>
        <v>1</v>
      </c>
    </row>
    <row r="36" spans="1:29" ht="15.75" thickBot="1">
      <c r="A36" s="929"/>
      <c r="B36" s="909">
        <v>111</v>
      </c>
      <c r="C36" s="535"/>
      <c r="D36" s="536">
        <v>100</v>
      </c>
      <c r="E36" s="526"/>
      <c r="F36" s="571">
        <f>SUMIF(101:101,E36,102:102)-SUMIF(101:101,C36,102:102)+100</f>
        <v>100</v>
      </c>
      <c r="G36" s="526"/>
      <c r="H36" s="536">
        <f>SUMIF(101:101,G36,102:102)-SUMIF(101:101,C36,102:102)+100</f>
        <v>100</v>
      </c>
      <c r="I36" s="526"/>
      <c r="J36" s="536">
        <f>SUMIF(101:101,I36,102:102)-SUMIF(101:101,C36,102:102)+100</f>
        <v>100</v>
      </c>
      <c r="K36" s="577"/>
      <c r="L36" s="2137"/>
      <c r="M36" s="2129"/>
      <c r="N36" s="2129"/>
      <c r="O36" s="2136"/>
      <c r="P36" s="3468"/>
      <c r="Q36" s="1567">
        <f t="shared" si="11"/>
        <v>111</v>
      </c>
      <c r="R36" s="1568" t="s">
        <v>8</v>
      </c>
      <c r="S36" s="1569">
        <f t="shared" si="12"/>
        <v>100</v>
      </c>
      <c r="T36" s="1568" t="s">
        <v>8</v>
      </c>
      <c r="U36" s="1569">
        <f t="shared" si="13"/>
        <v>100</v>
      </c>
      <c r="V36" s="1568" t="s">
        <v>8</v>
      </c>
      <c r="W36" s="1569">
        <f t="shared" si="14"/>
        <v>100</v>
      </c>
      <c r="X36" s="1562"/>
      <c r="Y36" s="3468"/>
      <c r="Z36" s="1570">
        <f t="shared" si="15"/>
        <v>111</v>
      </c>
      <c r="AA36" s="1571">
        <f t="shared" si="3"/>
        <v>1</v>
      </c>
      <c r="AB36" s="1571">
        <f t="shared" si="4"/>
        <v>1</v>
      </c>
      <c r="AC36" s="1571">
        <f t="shared" si="5"/>
        <v>1</v>
      </c>
    </row>
    <row r="37" spans="1:29" ht="15">
      <c r="A37" s="1841" t="s">
        <v>2072</v>
      </c>
      <c r="B37" s="1842" t="s">
        <v>2073</v>
      </c>
      <c r="C37" s="2646" t="s">
        <v>1</v>
      </c>
      <c r="D37" s="2647"/>
      <c r="E37" s="2648"/>
      <c r="F37" s="2649"/>
      <c r="G37" s="2650"/>
      <c r="H37" s="2651"/>
      <c r="I37" s="2648"/>
      <c r="J37" s="2651"/>
      <c r="K37" s="1606"/>
      <c r="L37" s="2139"/>
      <c r="M37" s="2140"/>
      <c r="N37" s="2129"/>
      <c r="O37" s="2140"/>
      <c r="P37" s="3463" t="str">
        <f>A37</f>
        <v>成交单价</v>
      </c>
      <c r="Q37" s="3463"/>
      <c r="R37" s="3542">
        <f>E37</f>
        <v>0</v>
      </c>
      <c r="S37" s="3542"/>
      <c r="T37" s="3542">
        <f>G37</f>
        <v>0</v>
      </c>
      <c r="U37" s="3542"/>
      <c r="V37" s="3542">
        <f>I37</f>
        <v>0</v>
      </c>
      <c r="W37" s="3542"/>
      <c r="X37" s="1554"/>
      <c r="Y37" s="1576"/>
      <c r="Z37" s="1554"/>
      <c r="AA37" s="1554"/>
      <c r="AB37" s="1554"/>
      <c r="AC37" s="1554"/>
    </row>
    <row r="38" spans="1:29" ht="15.75" thickBot="1">
      <c r="A38" s="611" t="s">
        <v>2759</v>
      </c>
      <c r="B38" s="883"/>
      <c r="C38" s="2652" t="e">
        <f>R39</f>
        <v>#DIV/0!</v>
      </c>
      <c r="D38" s="2653"/>
      <c r="E38" s="2654" t="e">
        <f>R38</f>
        <v>#DIV/0!</v>
      </c>
      <c r="F38" s="2654"/>
      <c r="G38" s="2652" t="e">
        <f>T38</f>
        <v>#DIV/0!</v>
      </c>
      <c r="H38" s="2653"/>
      <c r="I38" s="2654" t="e">
        <f>V38</f>
        <v>#DIV/0!</v>
      </c>
      <c r="J38" s="2653"/>
      <c r="K38" s="1607"/>
      <c r="L38" s="2139"/>
      <c r="M38" s="2140"/>
      <c r="N38" s="2140"/>
      <c r="O38" s="2140"/>
      <c r="P38" s="3463" t="str">
        <f>A38</f>
        <v>比较价格（元/平方米）</v>
      </c>
      <c r="Q38" s="3463"/>
      <c r="R38" s="3542" t="e">
        <f>IF(F1="售价",ROUND(PRODUCT(R37,AA7:AA36),0),ROUND(PRODUCT(R37,AA7:AA36),1))</f>
        <v>#DIV/0!</v>
      </c>
      <c r="S38" s="3542"/>
      <c r="T38" s="3542" t="e">
        <f>IF(F1="售价",ROUND(PRODUCT(T37,AB7:AB36),0),ROUND(PRODUCT(T37,AB7:AB36),1))</f>
        <v>#DIV/0!</v>
      </c>
      <c r="U38" s="3542"/>
      <c r="V38" s="3542" t="e">
        <f>IF(F1="售价",ROUND(PRODUCT(V37,AC7:AC36),0),ROUND(PRODUCT(V37,AC7:AC36),1))</f>
        <v>#DIV/0!</v>
      </c>
      <c r="W38" s="3542"/>
      <c r="X38" s="1554"/>
      <c r="Y38" s="1554"/>
      <c r="Z38" s="1554"/>
      <c r="AA38" s="1554"/>
      <c r="AB38" s="1554"/>
      <c r="AC38" s="1554"/>
    </row>
    <row r="39" spans="1:29" ht="15.75" thickBot="1">
      <c r="A39" s="617" t="s">
        <v>2929</v>
      </c>
      <c r="B39" s="618"/>
      <c r="C39" s="2655" t="e">
        <f>R39</f>
        <v>#DIV/0!</v>
      </c>
      <c r="D39" s="2655"/>
      <c r="E39" s="2655"/>
      <c r="F39" s="2655"/>
      <c r="G39" s="2655"/>
      <c r="H39" s="2655"/>
      <c r="I39" s="2655"/>
      <c r="J39" s="2655"/>
      <c r="K39" s="1608"/>
      <c r="L39" s="2139"/>
      <c r="M39" s="2140"/>
      <c r="N39" s="2140"/>
      <c r="O39" s="2140"/>
      <c r="P39" s="3484" t="str">
        <f>A39</f>
        <v>估价对象XX用房的比较价格（楼面单价，元/平方米）</v>
      </c>
      <c r="Q39" s="3485"/>
      <c r="R39" s="3541" t="e">
        <f>IF(F1="售价",ROUND(AVERAGE(R38:V38),0),ROUND(AVERAGE(R38:V38),1))</f>
        <v>#DIV/0!</v>
      </c>
      <c r="S39" s="3541"/>
      <c r="T39" s="3541"/>
      <c r="U39" s="3541"/>
      <c r="V39" s="3541"/>
      <c r="W39" s="3541"/>
      <c r="X39" s="1554"/>
      <c r="Y39" s="1554"/>
      <c r="Z39" s="1554"/>
      <c r="AA39" s="1554"/>
      <c r="AB39" s="1554"/>
      <c r="AC39" s="1554"/>
    </row>
    <row r="40" spans="1:29">
      <c r="A40" s="2140"/>
      <c r="B40" s="2140"/>
      <c r="C40" s="2140"/>
      <c r="D40" s="2140"/>
      <c r="E40" s="2140"/>
      <c r="F40" s="2140"/>
      <c r="G40" s="2143"/>
      <c r="H40" s="2140"/>
      <c r="I40" s="2140"/>
      <c r="J40" s="2140"/>
      <c r="K40" s="2144"/>
      <c r="L40" s="2145"/>
      <c r="M40" s="2140"/>
      <c r="N40" s="2140"/>
      <c r="O40" s="2140"/>
      <c r="P40" s="2140"/>
      <c r="Q40" s="2140"/>
      <c r="R40" s="2140"/>
      <c r="S40" s="2140"/>
      <c r="T40" s="2140"/>
      <c r="U40" s="2140"/>
      <c r="V40" s="2140"/>
      <c r="W40" s="2140"/>
      <c r="X40" s="2140"/>
      <c r="Y40" s="2140"/>
      <c r="Z40" s="2140"/>
      <c r="AA40" s="2140"/>
      <c r="AB40" s="2140"/>
      <c r="AC40" s="2140"/>
    </row>
    <row r="41" spans="1:29">
      <c r="A41" s="2140"/>
      <c r="B41" s="2140"/>
      <c r="C41" s="2140"/>
      <c r="D41" s="2140"/>
      <c r="E41" s="2140"/>
      <c r="F41" s="2140"/>
      <c r="G41" s="2140"/>
      <c r="H41" s="2140"/>
      <c r="I41" s="2140"/>
      <c r="J41" s="2140"/>
      <c r="K41" s="2144"/>
      <c r="L41" s="2145"/>
      <c r="M41" s="2140"/>
      <c r="N41" s="2140"/>
      <c r="O41" s="2140"/>
      <c r="P41" s="2140"/>
      <c r="Q41" s="2140"/>
      <c r="R41" s="2140"/>
      <c r="S41" s="2140"/>
      <c r="T41" s="2140"/>
      <c r="U41" s="2140"/>
      <c r="V41" s="2140"/>
      <c r="W41" s="2140"/>
      <c r="X41" s="2140"/>
      <c r="Y41" s="2140"/>
      <c r="Z41" s="2140"/>
      <c r="AA41" s="2140"/>
      <c r="AB41" s="2140"/>
      <c r="AC41" s="2140"/>
    </row>
    <row r="42" spans="1:29" ht="13.5" customHeight="1">
      <c r="A42" s="2140"/>
      <c r="B42" s="2140"/>
      <c r="C42" s="620" t="s">
        <v>551</v>
      </c>
      <c r="D42" s="621"/>
      <c r="E42" s="622" t="e">
        <f>IF(E37&lt;E38,E38/E37-1,E37/E38-1)</f>
        <v>#DIV/0!</v>
      </c>
      <c r="F42" s="623" t="e">
        <f>IF(OR(E42&gt;=0.3,E42&lt;=-0.3),"超过30%","")</f>
        <v>#DIV/0!</v>
      </c>
      <c r="G42" s="622" t="e">
        <f>IF(G37&lt;G38,G38/G37-1,G37/G38-1)</f>
        <v>#DIV/0!</v>
      </c>
      <c r="H42" s="623" t="e">
        <f>IF(OR(G42&gt;=0.3,G42&lt;=-0.3),"超过30%","")</f>
        <v>#DIV/0!</v>
      </c>
      <c r="I42" s="622" t="e">
        <f>IF(I37&lt;I38,I38/I37-1,I37/I38-1)</f>
        <v>#DIV/0!</v>
      </c>
      <c r="J42" s="623" t="e">
        <f>IF(OR(I42&gt;=0.3,I42&lt;=-0.3),"超过30%","")</f>
        <v>#DIV/0!</v>
      </c>
      <c r="K42" s="2144"/>
      <c r="L42" s="2145"/>
      <c r="M42" s="2140"/>
      <c r="N42" s="2140"/>
      <c r="O42" s="2140"/>
      <c r="P42" s="2140"/>
      <c r="Q42" s="2140"/>
      <c r="R42" s="2140"/>
      <c r="S42" s="2140"/>
      <c r="T42" s="2140"/>
      <c r="U42" s="2140"/>
      <c r="V42" s="2140"/>
      <c r="W42" s="2140"/>
      <c r="X42" s="2140"/>
      <c r="Y42" s="2140"/>
      <c r="Z42" s="2140"/>
      <c r="AA42" s="2140"/>
      <c r="AB42" s="2140"/>
      <c r="AC42" s="2140"/>
    </row>
    <row r="43" spans="1:29" ht="13.5" customHeight="1">
      <c r="A43" s="2140"/>
      <c r="B43" s="2140"/>
      <c r="C43" s="620" t="s">
        <v>552</v>
      </c>
      <c r="D43" s="624"/>
      <c r="E43" s="622" t="e">
        <f>IF(E38&lt;G38,G38/E38-1,E38/G38-1)</f>
        <v>#DIV/0!</v>
      </c>
      <c r="F43" s="623" t="e">
        <f>IF(OR(E43&gt;=0.2,E43&lt;=-0.2),"超过20%","")</f>
        <v>#DIV/0!</v>
      </c>
      <c r="G43" s="622" t="e">
        <f>IF(G38&lt;I38,I38/G38-1,G38/I38-1)</f>
        <v>#DIV/0!</v>
      </c>
      <c r="H43" s="623" t="e">
        <f>IF(OR(G43&gt;=0.2,G43&lt;=-0.2),"超过20%","")</f>
        <v>#DIV/0!</v>
      </c>
      <c r="I43" s="622" t="e">
        <f>IF(I38&lt;E38,E38/I38-1,I38/E38-1)</f>
        <v>#DIV/0!</v>
      </c>
      <c r="J43" s="623" t="e">
        <f>IF(OR(I43&gt;=0.2,I43&lt;=-0.2),"超过20%","")</f>
        <v>#DIV/0!</v>
      </c>
      <c r="K43" s="2144"/>
      <c r="L43" s="2145"/>
      <c r="M43" s="2140"/>
      <c r="N43" s="2140"/>
      <c r="O43" s="2140"/>
      <c r="P43" s="2140"/>
      <c r="Q43" s="2140"/>
      <c r="R43" s="2140"/>
      <c r="S43" s="2140"/>
      <c r="T43" s="2140"/>
      <c r="U43" s="2140"/>
      <c r="V43" s="2140"/>
      <c r="W43" s="2140"/>
      <c r="X43" s="2140"/>
      <c r="Y43" s="2140"/>
      <c r="Z43" s="2140"/>
      <c r="AA43" s="2140"/>
      <c r="AB43" s="2140"/>
      <c r="AC43" s="2140"/>
    </row>
    <row r="44" spans="1:29" s="1340" customFormat="1" ht="13.5" customHeight="1">
      <c r="A44" s="2141"/>
      <c r="B44" s="2141"/>
      <c r="C44" s="620" t="s">
        <v>553</v>
      </c>
      <c r="D44" s="624"/>
      <c r="E44" s="622" t="e">
        <f>IF(E37&lt;G37,G37/E37-1,E37/G37-1)</f>
        <v>#DIV/0!</v>
      </c>
      <c r="F44" s="623" t="e">
        <f>IF(OR(E44&gt;=0.3,E44&lt;=-0.3),"超过30%","")</f>
        <v>#DIV/0!</v>
      </c>
      <c r="G44" s="622" t="e">
        <f>IF(G37&lt;I37,I37/G37-1,G37/I37-1)</f>
        <v>#DIV/0!</v>
      </c>
      <c r="H44" s="623" t="e">
        <f>IF(OR(G44&gt;=0.3,G44&lt;=-0.3),"超过30%","")</f>
        <v>#DIV/0!</v>
      </c>
      <c r="I44" s="622" t="e">
        <f>IF(I37&lt;E37,E37/I37-1,I37/E37-1)</f>
        <v>#DIV/0!</v>
      </c>
      <c r="J44" s="623" t="e">
        <f>IF(OR(I44&gt;=0.3,I44&lt;=-0.3),"超过30%","")</f>
        <v>#DIV/0!</v>
      </c>
      <c r="K44" s="2147"/>
      <c r="L44" s="2148"/>
      <c r="M44" s="2141"/>
      <c r="N44" s="2141"/>
      <c r="O44" s="2141"/>
      <c r="P44" s="2141"/>
      <c r="Q44" s="2141"/>
      <c r="R44" s="2141"/>
      <c r="S44" s="2141"/>
      <c r="T44" s="2141"/>
      <c r="U44" s="2141"/>
      <c r="V44" s="2141"/>
      <c r="W44" s="2141"/>
      <c r="X44" s="2141"/>
      <c r="Y44" s="2141"/>
      <c r="Z44" s="2141"/>
      <c r="AA44" s="2141"/>
      <c r="AB44" s="2141"/>
      <c r="AC44" s="2141"/>
    </row>
    <row r="45" spans="1:29" s="1340" customFormat="1">
      <c r="A45" s="2141"/>
      <c r="B45" s="2142"/>
      <c r="C45" s="2146"/>
      <c r="D45" s="2141"/>
      <c r="E45" s="2141"/>
      <c r="F45" s="2141"/>
      <c r="G45" s="2141"/>
      <c r="H45" s="2141"/>
      <c r="I45" s="2141"/>
      <c r="J45" s="2141"/>
      <c r="K45" s="2147"/>
      <c r="L45" s="2148"/>
      <c r="M45" s="2141"/>
      <c r="N45" s="2141"/>
      <c r="O45" s="2141"/>
      <c r="P45" s="2141"/>
      <c r="Q45" s="2141"/>
      <c r="R45" s="2141"/>
      <c r="S45" s="2141"/>
      <c r="T45" s="2141"/>
      <c r="U45" s="2141"/>
      <c r="V45" s="2141"/>
      <c r="W45" s="2141"/>
      <c r="X45" s="2141"/>
      <c r="Y45" s="2141"/>
      <c r="Z45" s="2141"/>
      <c r="AA45" s="2141"/>
      <c r="AB45" s="2141"/>
      <c r="AC45" s="2141"/>
    </row>
    <row r="46" spans="1:29">
      <c r="A46" s="2140"/>
      <c r="B46" s="2142"/>
      <c r="C46" s="2146"/>
      <c r="D46" s="2140"/>
      <c r="E46" s="2140"/>
      <c r="F46" s="2140"/>
      <c r="G46" s="2140"/>
      <c r="H46" s="2140"/>
      <c r="I46" s="2140"/>
      <c r="J46" s="2140"/>
      <c r="K46" s="2144"/>
      <c r="L46" s="2145"/>
      <c r="M46" s="2140"/>
      <c r="N46" s="2140"/>
      <c r="O46" s="2140"/>
      <c r="P46" s="2140"/>
      <c r="Q46" s="2140"/>
      <c r="R46" s="2140"/>
      <c r="S46" s="2140"/>
      <c r="T46" s="2140"/>
      <c r="U46" s="2140"/>
      <c r="V46" s="2140"/>
      <c r="W46" s="2140"/>
      <c r="X46" s="2140"/>
      <c r="Y46" s="2140"/>
      <c r="Z46" s="2140"/>
      <c r="AA46" s="2140"/>
      <c r="AB46" s="2140"/>
      <c r="AC46" s="2140"/>
    </row>
    <row r="47" spans="1:29" ht="21.75" thickBot="1">
      <c r="A47" s="1579" t="s">
        <v>568</v>
      </c>
      <c r="B47" s="1554"/>
      <c r="C47" s="2152"/>
      <c r="D47" s="2152"/>
      <c r="E47" s="2152"/>
      <c r="F47" s="2217"/>
      <c r="G47" s="2217"/>
      <c r="H47" s="2152"/>
      <c r="I47" s="2152"/>
      <c r="J47" s="2152"/>
      <c r="K47" s="2218"/>
      <c r="L47" s="2219"/>
      <c r="M47" s="2152"/>
      <c r="N47" s="2152"/>
      <c r="O47" s="2152"/>
      <c r="P47" s="2152"/>
      <c r="Q47" s="2153"/>
      <c r="R47" s="2140"/>
      <c r="S47" s="2140"/>
      <c r="T47" s="2140"/>
      <c r="U47" s="2140"/>
      <c r="V47" s="2140"/>
      <c r="W47" s="2140"/>
      <c r="X47" s="2140"/>
      <c r="Y47" s="2140"/>
      <c r="Z47" s="2140"/>
      <c r="AA47" s="2140"/>
      <c r="AB47" s="2140"/>
      <c r="AC47" s="2140"/>
    </row>
    <row r="48" spans="1:29" s="1342" customFormat="1" ht="15">
      <c r="A48" s="641" t="s">
        <v>523</v>
      </c>
      <c r="B48" s="642"/>
      <c r="C48" s="2823" t="str">
        <f>YEAR(C7)&amp;"-"&amp;MONTH(C7)</f>
        <v>2017-10</v>
      </c>
      <c r="D48" s="2825">
        <f>EDATE(C48,-1)</f>
        <v>42979</v>
      </c>
      <c r="E48" s="2825">
        <f t="shared" ref="E48:O48" si="16">EDATE(D48,-1)</f>
        <v>42948</v>
      </c>
      <c r="F48" s="2825">
        <f t="shared" si="16"/>
        <v>42917</v>
      </c>
      <c r="G48" s="2825">
        <f t="shared" si="16"/>
        <v>42887</v>
      </c>
      <c r="H48" s="2825">
        <f t="shared" si="16"/>
        <v>42856</v>
      </c>
      <c r="I48" s="2825">
        <f t="shared" si="16"/>
        <v>42826</v>
      </c>
      <c r="J48" s="2825">
        <f t="shared" si="16"/>
        <v>42795</v>
      </c>
      <c r="K48" s="2825">
        <f t="shared" si="16"/>
        <v>42767</v>
      </c>
      <c r="L48" s="2825">
        <f t="shared" si="16"/>
        <v>42736</v>
      </c>
      <c r="M48" s="2825">
        <f t="shared" si="16"/>
        <v>42705</v>
      </c>
      <c r="N48" s="2825">
        <f t="shared" si="16"/>
        <v>42675</v>
      </c>
      <c r="O48" s="2825">
        <f t="shared" si="16"/>
        <v>42644</v>
      </c>
      <c r="P48" s="2155"/>
      <c r="Q48" s="2156"/>
      <c r="R48" s="2156"/>
      <c r="S48" s="2156"/>
      <c r="T48" s="2156"/>
      <c r="U48" s="2156"/>
      <c r="V48" s="2156"/>
      <c r="W48" s="2156"/>
      <c r="X48" s="2156"/>
      <c r="Y48" s="2156"/>
      <c r="Z48" s="2156"/>
      <c r="AA48" s="2156"/>
      <c r="AB48" s="2156"/>
      <c r="AC48" s="2156"/>
    </row>
    <row r="49" spans="1:29" s="1215" customFormat="1" ht="15">
      <c r="A49" s="643"/>
      <c r="B49" s="644"/>
      <c r="C49" s="2824">
        <v>100</v>
      </c>
      <c r="D49" s="646"/>
      <c r="E49" s="646"/>
      <c r="F49" s="646"/>
      <c r="G49" s="646"/>
      <c r="H49" s="646"/>
      <c r="I49" s="646"/>
      <c r="J49" s="646"/>
      <c r="K49" s="646"/>
      <c r="L49" s="646"/>
      <c r="M49" s="647"/>
      <c r="N49" s="646"/>
      <c r="O49" s="648"/>
      <c r="P49" s="2153"/>
      <c r="Q49" s="1988"/>
      <c r="R49" s="1988"/>
      <c r="S49" s="1988"/>
      <c r="T49" s="1988"/>
      <c r="U49" s="1988"/>
      <c r="V49" s="1988"/>
      <c r="W49" s="1988"/>
      <c r="X49" s="1988"/>
      <c r="Y49" s="1988"/>
      <c r="Z49" s="1988"/>
      <c r="AA49" s="1988"/>
      <c r="AB49" s="1988"/>
      <c r="AC49" s="1988"/>
    </row>
    <row r="50" spans="1:29" s="1215" customFormat="1" ht="15.75" thickBot="1">
      <c r="A50" s="649" t="s">
        <v>569</v>
      </c>
      <c r="B50" s="650"/>
      <c r="C50" s="651"/>
      <c r="D50" s="652"/>
      <c r="E50" s="652"/>
      <c r="F50" s="652"/>
      <c r="G50" s="652"/>
      <c r="H50" s="652"/>
      <c r="I50" s="652"/>
      <c r="J50" s="652"/>
      <c r="K50" s="652"/>
      <c r="L50" s="652"/>
      <c r="M50" s="653"/>
      <c r="N50" s="652"/>
      <c r="O50" s="654"/>
      <c r="P50" s="2153"/>
      <c r="Q50" s="2153"/>
      <c r="R50" s="1988"/>
      <c r="S50" s="1988"/>
      <c r="T50" s="1988"/>
      <c r="U50" s="1988"/>
      <c r="V50" s="1988"/>
      <c r="W50" s="1988"/>
      <c r="X50" s="1988"/>
      <c r="Y50" s="1988"/>
      <c r="Z50" s="1988"/>
      <c r="AA50" s="1988"/>
      <c r="AB50" s="1988"/>
      <c r="AC50" s="1988"/>
    </row>
    <row r="51" spans="1:29" s="1215" customFormat="1" ht="15">
      <c r="A51" s="655" t="s">
        <v>525</v>
      </c>
      <c r="B51" s="644"/>
      <c r="C51" s="656" t="s">
        <v>570</v>
      </c>
      <c r="D51" s="657"/>
      <c r="E51" s="657"/>
      <c r="F51" s="657"/>
      <c r="G51" s="657"/>
      <c r="H51" s="657"/>
      <c r="I51" s="657"/>
      <c r="J51" s="657"/>
      <c r="K51" s="657"/>
      <c r="L51" s="658"/>
      <c r="M51" s="659"/>
      <c r="N51" s="2157"/>
      <c r="O51" s="2157"/>
      <c r="P51" s="2158"/>
      <c r="Q51" s="2153"/>
      <c r="R51" s="1988"/>
      <c r="S51" s="1988"/>
      <c r="T51" s="1988"/>
      <c r="U51" s="1988"/>
      <c r="V51" s="1988"/>
      <c r="W51" s="1988"/>
      <c r="X51" s="1988"/>
      <c r="Y51" s="1988"/>
      <c r="Z51" s="1988"/>
      <c r="AA51" s="1988"/>
      <c r="AB51" s="1988"/>
      <c r="AC51" s="1988"/>
    </row>
    <row r="52" spans="1:29" s="1215" customFormat="1" ht="15.75" thickBot="1">
      <c r="A52" s="655"/>
      <c r="B52" s="644"/>
      <c r="C52" s="645">
        <v>100</v>
      </c>
      <c r="D52" s="646"/>
      <c r="E52" s="646"/>
      <c r="F52" s="646"/>
      <c r="G52" s="646"/>
      <c r="H52" s="646"/>
      <c r="I52" s="646"/>
      <c r="J52" s="646"/>
      <c r="K52" s="646"/>
      <c r="L52" s="646"/>
      <c r="M52" s="648"/>
      <c r="N52" s="2157"/>
      <c r="O52" s="2157"/>
      <c r="P52" s="2153"/>
      <c r="Q52" s="2153"/>
      <c r="R52" s="1988"/>
      <c r="S52" s="1988"/>
      <c r="T52" s="1988"/>
      <c r="U52" s="1988"/>
      <c r="V52" s="1988"/>
      <c r="W52" s="1988"/>
      <c r="X52" s="1988"/>
      <c r="Y52" s="1988"/>
      <c r="Z52" s="1988"/>
      <c r="AA52" s="1988"/>
      <c r="AB52" s="1988"/>
      <c r="AC52" s="1988"/>
    </row>
    <row r="53" spans="1:29">
      <c r="A53" s="660" t="s">
        <v>571</v>
      </c>
      <c r="B53" s="661" t="s">
        <v>528</v>
      </c>
      <c r="C53" s="700">
        <f>C9</f>
        <v>0</v>
      </c>
      <c r="D53" s="594"/>
      <c r="E53" s="594"/>
      <c r="F53" s="594"/>
      <c r="G53" s="594"/>
      <c r="H53" s="594"/>
      <c r="I53" s="594"/>
      <c r="J53" s="594"/>
      <c r="K53" s="662"/>
      <c r="L53" s="663"/>
      <c r="M53" s="664"/>
      <c r="N53" s="2159"/>
      <c r="O53" s="2159"/>
      <c r="P53" s="2160"/>
      <c r="Q53" s="2153"/>
      <c r="R53" s="2140"/>
      <c r="S53" s="2140"/>
      <c r="T53" s="2140"/>
      <c r="U53" s="2140"/>
      <c r="V53" s="2140"/>
      <c r="W53" s="2140"/>
      <c r="X53" s="2140"/>
      <c r="Y53" s="2140"/>
      <c r="Z53" s="2140"/>
      <c r="AA53" s="2140"/>
      <c r="AB53" s="2140"/>
      <c r="AC53" s="2140"/>
    </row>
    <row r="54" spans="1:29" ht="15.75" thickBot="1">
      <c r="A54" s="665"/>
      <c r="B54" s="666"/>
      <c r="C54" s="667"/>
      <c r="D54" s="667"/>
      <c r="E54" s="667"/>
      <c r="F54" s="667"/>
      <c r="G54" s="667"/>
      <c r="H54" s="667"/>
      <c r="I54" s="667"/>
      <c r="J54" s="667"/>
      <c r="K54" s="667"/>
      <c r="L54" s="667"/>
      <c r="M54" s="668"/>
      <c r="N54" s="2161"/>
      <c r="O54" s="2161"/>
      <c r="P54" s="2160"/>
      <c r="Q54" s="2153"/>
      <c r="R54" s="2140"/>
      <c r="S54" s="2140"/>
      <c r="T54" s="2140"/>
      <c r="U54" s="2140"/>
      <c r="V54" s="2140"/>
      <c r="W54" s="2140"/>
      <c r="X54" s="2140"/>
      <c r="Y54" s="2140"/>
      <c r="Z54" s="2140"/>
      <c r="AA54" s="2140"/>
      <c r="AB54" s="2140"/>
      <c r="AC54" s="2140"/>
    </row>
    <row r="55" spans="1:29" ht="27.75" thickTop="1">
      <c r="A55" s="665"/>
      <c r="B55" s="669" t="s">
        <v>531</v>
      </c>
      <c r="C55" s="670" t="s">
        <v>730</v>
      </c>
      <c r="D55" s="670" t="s">
        <v>731</v>
      </c>
      <c r="E55" s="670" t="s">
        <v>732</v>
      </c>
      <c r="F55" s="670" t="s">
        <v>733</v>
      </c>
      <c r="G55" s="670" t="s">
        <v>734</v>
      </c>
      <c r="H55" s="670" t="s">
        <v>735</v>
      </c>
      <c r="I55" s="670" t="s">
        <v>736</v>
      </c>
      <c r="J55" s="670"/>
      <c r="K55" s="671"/>
      <c r="L55" s="672"/>
      <c r="M55" s="673"/>
      <c r="N55" s="2159"/>
      <c r="O55" s="2159"/>
      <c r="P55" s="2160"/>
      <c r="Q55" s="2153"/>
      <c r="R55" s="2140"/>
      <c r="S55" s="2140"/>
      <c r="T55" s="2140"/>
      <c r="U55" s="2140"/>
      <c r="V55" s="2140"/>
      <c r="W55" s="2140"/>
      <c r="X55" s="2140"/>
      <c r="Y55" s="2140"/>
      <c r="Z55" s="2140"/>
      <c r="AA55" s="2140"/>
      <c r="AB55" s="2140"/>
      <c r="AC55" s="2140"/>
    </row>
    <row r="56" spans="1:29" ht="15.75" thickBot="1">
      <c r="A56" s="665"/>
      <c r="B56" s="674"/>
      <c r="C56" s="675" t="s">
        <v>14</v>
      </c>
      <c r="D56" s="675" t="s">
        <v>15</v>
      </c>
      <c r="E56" s="675">
        <v>100</v>
      </c>
      <c r="F56" s="675">
        <f>E56-$K10</f>
        <v>100</v>
      </c>
      <c r="G56" s="675">
        <f>F56-$K10</f>
        <v>100</v>
      </c>
      <c r="H56" s="675">
        <f>G56-$K10</f>
        <v>100</v>
      </c>
      <c r="I56" s="675">
        <f>H56-$K10</f>
        <v>100</v>
      </c>
      <c r="J56" s="675"/>
      <c r="K56" s="675"/>
      <c r="L56" s="675"/>
      <c r="M56" s="676"/>
      <c r="N56" s="2161"/>
      <c r="O56" s="2161"/>
      <c r="P56" s="2160"/>
      <c r="Q56" s="2153"/>
      <c r="R56" s="2140"/>
      <c r="S56" s="2140"/>
      <c r="T56" s="2140"/>
      <c r="U56" s="2140"/>
      <c r="V56" s="2140"/>
      <c r="W56" s="2140"/>
      <c r="X56" s="2140"/>
      <c r="Y56" s="2140"/>
      <c r="Z56" s="2140"/>
      <c r="AA56" s="2140"/>
      <c r="AB56" s="2140"/>
      <c r="AC56" s="2140"/>
    </row>
    <row r="57" spans="1:29" ht="15.75" thickTop="1">
      <c r="A57" s="665"/>
      <c r="B57" s="930">
        <f>B11</f>
        <v>111</v>
      </c>
      <c r="C57" s="537"/>
      <c r="D57" s="537"/>
      <c r="E57" s="537"/>
      <c r="F57" s="537"/>
      <c r="G57" s="537"/>
      <c r="H57" s="537"/>
      <c r="I57" s="537"/>
      <c r="J57" s="537"/>
      <c r="K57" s="680"/>
      <c r="L57" s="681"/>
      <c r="M57" s="682"/>
      <c r="N57" s="2159"/>
      <c r="O57" s="2159"/>
      <c r="P57" s="2160"/>
      <c r="Q57" s="2153"/>
      <c r="R57" s="2140"/>
      <c r="S57" s="2140"/>
      <c r="T57" s="2140"/>
      <c r="U57" s="2140"/>
      <c r="V57" s="2140"/>
      <c r="W57" s="2140"/>
      <c r="X57" s="2140"/>
      <c r="Y57" s="2140"/>
      <c r="Z57" s="2140"/>
      <c r="AA57" s="2140"/>
      <c r="AB57" s="2140"/>
      <c r="AC57" s="2140"/>
    </row>
    <row r="58" spans="1:29" ht="15.75" thickBot="1">
      <c r="A58" s="665"/>
      <c r="B58" s="666"/>
      <c r="C58" s="688"/>
      <c r="D58" s="667"/>
      <c r="E58" s="667"/>
      <c r="F58" s="667"/>
      <c r="G58" s="667"/>
      <c r="H58" s="667"/>
      <c r="I58" s="667"/>
      <c r="J58" s="667"/>
      <c r="K58" s="667"/>
      <c r="L58" s="667"/>
      <c r="M58" s="668"/>
      <c r="N58" s="2161"/>
      <c r="O58" s="2161"/>
      <c r="P58" s="2160"/>
      <c r="Q58" s="2153"/>
      <c r="R58" s="2140"/>
      <c r="S58" s="2140"/>
      <c r="T58" s="2140"/>
      <c r="U58" s="2140"/>
      <c r="V58" s="2140"/>
      <c r="W58" s="2140"/>
      <c r="X58" s="2140"/>
      <c r="Y58" s="2140"/>
      <c r="Z58" s="2140"/>
      <c r="AA58" s="2140"/>
      <c r="AB58" s="2140"/>
      <c r="AC58" s="2140"/>
    </row>
    <row r="59" spans="1:29" s="1334" customFormat="1" ht="15.75" thickTop="1">
      <c r="A59" s="683"/>
      <c r="B59" s="669">
        <f>B12</f>
        <v>111</v>
      </c>
      <c r="C59" s="537"/>
      <c r="D59" s="537"/>
      <c r="E59" s="537"/>
      <c r="F59" s="537"/>
      <c r="G59" s="684"/>
      <c r="H59" s="685"/>
      <c r="I59" s="685"/>
      <c r="J59" s="685"/>
      <c r="K59" s="685"/>
      <c r="L59" s="686"/>
      <c r="M59" s="687"/>
      <c r="N59" s="2162"/>
      <c r="O59" s="2162"/>
      <c r="P59" s="2163"/>
      <c r="Q59" s="2164"/>
      <c r="R59" s="2165"/>
      <c r="S59" s="2165"/>
      <c r="T59" s="2165"/>
      <c r="U59" s="2165"/>
      <c r="V59" s="2165"/>
      <c r="W59" s="2165"/>
      <c r="X59" s="2165"/>
      <c r="Y59" s="2165"/>
      <c r="Z59" s="2165"/>
      <c r="AA59" s="2165"/>
      <c r="AB59" s="2165"/>
      <c r="AC59" s="2165"/>
    </row>
    <row r="60" spans="1:29" s="1334" customFormat="1" ht="15.75" thickBot="1">
      <c r="A60" s="683"/>
      <c r="B60" s="674"/>
      <c r="C60" s="688"/>
      <c r="D60" s="667"/>
      <c r="E60" s="667"/>
      <c r="F60" s="667"/>
      <c r="G60" s="667"/>
      <c r="H60" s="667"/>
      <c r="I60" s="667"/>
      <c r="J60" s="667"/>
      <c r="K60" s="667"/>
      <c r="L60" s="667"/>
      <c r="M60" s="668"/>
      <c r="N60" s="2161"/>
      <c r="O60" s="2161"/>
      <c r="P60" s="2163"/>
      <c r="Q60" s="2164"/>
      <c r="R60" s="2165"/>
      <c r="S60" s="2165"/>
      <c r="T60" s="2165"/>
      <c r="U60" s="2165"/>
      <c r="V60" s="2165"/>
      <c r="W60" s="2165"/>
      <c r="X60" s="2165"/>
      <c r="Y60" s="2165"/>
      <c r="Z60" s="2165"/>
      <c r="AA60" s="2165"/>
      <c r="AB60" s="2165"/>
      <c r="AC60" s="2165"/>
    </row>
    <row r="61" spans="1:29" s="1334" customFormat="1" ht="15.75" thickTop="1">
      <c r="A61" s="683"/>
      <c r="B61" s="669">
        <f>B13</f>
        <v>111</v>
      </c>
      <c r="C61" s="684"/>
      <c r="D61" s="684"/>
      <c r="E61" s="684"/>
      <c r="F61" s="684"/>
      <c r="G61" s="684"/>
      <c r="H61" s="685"/>
      <c r="I61" s="685"/>
      <c r="J61" s="685"/>
      <c r="K61" s="685"/>
      <c r="L61" s="686"/>
      <c r="M61" s="687"/>
      <c r="N61" s="2162"/>
      <c r="O61" s="2162"/>
      <c r="P61" s="2166"/>
      <c r="Q61" s="2167"/>
      <c r="R61" s="2165"/>
      <c r="S61" s="2165"/>
      <c r="T61" s="2165"/>
      <c r="U61" s="2165"/>
      <c r="V61" s="2165"/>
      <c r="W61" s="2165"/>
      <c r="X61" s="2165"/>
      <c r="Y61" s="2165"/>
      <c r="Z61" s="2165"/>
      <c r="AA61" s="2165"/>
      <c r="AB61" s="2165"/>
      <c r="AC61" s="2165"/>
    </row>
    <row r="62" spans="1:29" s="1334" customFormat="1" ht="15.75" thickBot="1">
      <c r="A62" s="683"/>
      <c r="B62" s="674"/>
      <c r="C62" s="688"/>
      <c r="D62" s="688"/>
      <c r="E62" s="688"/>
      <c r="F62" s="688"/>
      <c r="G62" s="688"/>
      <c r="H62" s="689"/>
      <c r="I62" s="689"/>
      <c r="J62" s="689"/>
      <c r="K62" s="689"/>
      <c r="L62" s="689"/>
      <c r="M62" s="690"/>
      <c r="N62" s="2162"/>
      <c r="O62" s="2162"/>
      <c r="P62" s="2163"/>
      <c r="Q62" s="2164"/>
      <c r="R62" s="2165"/>
      <c r="S62" s="2165"/>
      <c r="T62" s="2165"/>
      <c r="U62" s="2165"/>
      <c r="V62" s="2165"/>
      <c r="W62" s="2165"/>
      <c r="X62" s="2165"/>
      <c r="Y62" s="2165"/>
      <c r="Z62" s="2165"/>
      <c r="AA62" s="2165"/>
      <c r="AB62" s="2165"/>
      <c r="AC62" s="2165"/>
    </row>
    <row r="63" spans="1:29" ht="15" thickTop="1">
      <c r="A63" s="660" t="s">
        <v>533</v>
      </c>
      <c r="B63" s="661" t="s">
        <v>580</v>
      </c>
      <c r="C63" s="699" t="s">
        <v>573</v>
      </c>
      <c r="D63" s="699" t="s">
        <v>574</v>
      </c>
      <c r="E63" s="699" t="s">
        <v>575</v>
      </c>
      <c r="F63" s="699" t="s">
        <v>576</v>
      </c>
      <c r="G63" s="699" t="s">
        <v>577</v>
      </c>
      <c r="H63" s="700"/>
      <c r="I63" s="700"/>
      <c r="J63" s="700"/>
      <c r="K63" s="701"/>
      <c r="L63" s="702"/>
      <c r="M63" s="703"/>
      <c r="N63" s="2159"/>
      <c r="O63" s="2159"/>
      <c r="P63" s="2169"/>
      <c r="Q63" s="2153"/>
      <c r="R63" s="2140"/>
      <c r="S63" s="2140"/>
      <c r="T63" s="2140"/>
      <c r="U63" s="2140"/>
      <c r="V63" s="2140"/>
      <c r="W63" s="2140"/>
      <c r="X63" s="2140"/>
      <c r="Y63" s="2140"/>
      <c r="Z63" s="2140"/>
      <c r="AA63" s="2140"/>
      <c r="AB63" s="2140"/>
      <c r="AC63" s="2140"/>
    </row>
    <row r="64" spans="1:29" ht="15.75" thickBot="1">
      <c r="A64" s="665"/>
      <c r="B64" s="674"/>
      <c r="C64" s="675">
        <v>100</v>
      </c>
      <c r="D64" s="675">
        <f>C64-$K14</f>
        <v>100</v>
      </c>
      <c r="E64" s="675">
        <f>D64-$K14</f>
        <v>100</v>
      </c>
      <c r="F64" s="675">
        <f>E64-$K14</f>
        <v>100</v>
      </c>
      <c r="G64" s="675">
        <f>F64-$K14</f>
        <v>100</v>
      </c>
      <c r="H64" s="675"/>
      <c r="I64" s="675"/>
      <c r="J64" s="675"/>
      <c r="K64" s="675"/>
      <c r="L64" s="675"/>
      <c r="M64" s="676"/>
      <c r="N64" s="2161"/>
      <c r="O64" s="2161"/>
      <c r="P64" s="2160"/>
      <c r="Q64" s="2153"/>
      <c r="R64" s="2140"/>
      <c r="S64" s="2140"/>
      <c r="T64" s="2140"/>
      <c r="U64" s="2140"/>
      <c r="V64" s="2140"/>
      <c r="W64" s="2140"/>
      <c r="X64" s="2140"/>
      <c r="Y64" s="2140"/>
      <c r="Z64" s="2140"/>
      <c r="AA64" s="2140"/>
      <c r="AB64" s="2140"/>
      <c r="AC64" s="2140"/>
    </row>
    <row r="65" spans="1:29" ht="15.75" thickTop="1">
      <c r="A65" s="665"/>
      <c r="B65" s="1891" t="s">
        <v>2554</v>
      </c>
      <c r="C65" s="704" t="s">
        <v>573</v>
      </c>
      <c r="D65" s="704" t="s">
        <v>574</v>
      </c>
      <c r="E65" s="704" t="s">
        <v>575</v>
      </c>
      <c r="F65" s="704" t="s">
        <v>576</v>
      </c>
      <c r="G65" s="704" t="s">
        <v>577</v>
      </c>
      <c r="H65" s="670"/>
      <c r="I65" s="670"/>
      <c r="J65" s="670"/>
      <c r="K65" s="671"/>
      <c r="L65" s="672"/>
      <c r="M65" s="673"/>
      <c r="N65" s="2159"/>
      <c r="O65" s="2159"/>
      <c r="P65" s="2160"/>
      <c r="Q65" s="2153"/>
      <c r="R65" s="2140"/>
      <c r="S65" s="2140"/>
      <c r="T65" s="2140"/>
      <c r="U65" s="2140"/>
      <c r="V65" s="2140"/>
      <c r="W65" s="2140"/>
      <c r="X65" s="2140"/>
      <c r="Y65" s="2140"/>
      <c r="Z65" s="2140"/>
      <c r="AA65" s="2140"/>
      <c r="AB65" s="2140"/>
      <c r="AC65" s="2140"/>
    </row>
    <row r="66" spans="1:29" ht="15.75" thickBot="1">
      <c r="A66" s="665"/>
      <c r="B66" s="674"/>
      <c r="C66" s="675">
        <v>100</v>
      </c>
      <c r="D66" s="675">
        <f>C66-$K16</f>
        <v>100</v>
      </c>
      <c r="E66" s="675">
        <f>D66-$K16</f>
        <v>100</v>
      </c>
      <c r="F66" s="675">
        <f>E66-$K16</f>
        <v>100</v>
      </c>
      <c r="G66" s="675">
        <f>F66-$K16</f>
        <v>100</v>
      </c>
      <c r="H66" s="675"/>
      <c r="I66" s="675"/>
      <c r="J66" s="675"/>
      <c r="K66" s="675"/>
      <c r="L66" s="675"/>
      <c r="M66" s="676"/>
      <c r="N66" s="2161"/>
      <c r="O66" s="2161"/>
      <c r="P66" s="2160"/>
      <c r="Q66" s="2153"/>
      <c r="R66" s="2140"/>
      <c r="S66" s="2140"/>
      <c r="T66" s="2140"/>
      <c r="U66" s="2140"/>
      <c r="V66" s="2140"/>
      <c r="W66" s="2140"/>
      <c r="X66" s="2140"/>
      <c r="Y66" s="2140"/>
      <c r="Z66" s="2140"/>
      <c r="AA66" s="2140"/>
      <c r="AB66" s="2140"/>
      <c r="AC66" s="2140"/>
    </row>
    <row r="67" spans="1:29" ht="15.75" thickTop="1">
      <c r="A67" s="665"/>
      <c r="B67" s="2616" t="s">
        <v>2555</v>
      </c>
      <c r="C67" s="2617" t="s">
        <v>2556</v>
      </c>
      <c r="D67" s="2617" t="s">
        <v>2557</v>
      </c>
      <c r="E67" s="2617" t="s">
        <v>2558</v>
      </c>
      <c r="F67" s="2617" t="s">
        <v>2559</v>
      </c>
      <c r="G67" s="2617" t="s">
        <v>2560</v>
      </c>
      <c r="H67" s="670"/>
      <c r="I67" s="670"/>
      <c r="J67" s="670"/>
      <c r="K67" s="670"/>
      <c r="L67" s="670"/>
      <c r="M67" s="2620"/>
      <c r="N67" s="2161"/>
      <c r="O67" s="2161"/>
      <c r="P67" s="2160"/>
      <c r="Q67" s="2153"/>
      <c r="R67" s="2140"/>
      <c r="S67" s="2140"/>
      <c r="T67" s="2140"/>
      <c r="U67" s="2140"/>
      <c r="V67" s="2140"/>
      <c r="W67" s="2140"/>
      <c r="X67" s="2140"/>
      <c r="Y67" s="2140"/>
      <c r="Z67" s="2140"/>
      <c r="AA67" s="2140"/>
      <c r="AB67" s="2140"/>
      <c r="AC67" s="2140"/>
    </row>
    <row r="68" spans="1:29" ht="15.75" thickBot="1">
      <c r="A68" s="665"/>
      <c r="B68" s="677"/>
      <c r="C68" s="675">
        <v>100</v>
      </c>
      <c r="D68" s="675">
        <f>C68-$K18</f>
        <v>100</v>
      </c>
      <c r="E68" s="675">
        <f>D68-$K18</f>
        <v>100</v>
      </c>
      <c r="F68" s="675">
        <f>E68-$K18</f>
        <v>100</v>
      </c>
      <c r="G68" s="675">
        <f>F68-$K18</f>
        <v>100</v>
      </c>
      <c r="H68" s="930"/>
      <c r="I68" s="930"/>
      <c r="J68" s="930"/>
      <c r="K68" s="930"/>
      <c r="L68" s="930"/>
      <c r="M68" s="555"/>
      <c r="N68" s="2161"/>
      <c r="O68" s="2161"/>
      <c r="P68" s="2160"/>
      <c r="Q68" s="2153"/>
      <c r="R68" s="2140"/>
      <c r="S68" s="2140"/>
      <c r="T68" s="2140"/>
      <c r="U68" s="2140"/>
      <c r="V68" s="2140"/>
      <c r="W68" s="2140"/>
      <c r="X68" s="2140"/>
      <c r="Y68" s="2140"/>
      <c r="Z68" s="2140"/>
      <c r="AA68" s="2140"/>
      <c r="AB68" s="2140"/>
      <c r="AC68" s="2140"/>
    </row>
    <row r="69" spans="1:29" ht="15.75" thickTop="1">
      <c r="A69" s="665"/>
      <c r="B69" s="669" t="s">
        <v>737</v>
      </c>
      <c r="C69" s="704" t="s">
        <v>573</v>
      </c>
      <c r="D69" s="704" t="s">
        <v>574</v>
      </c>
      <c r="E69" s="704" t="s">
        <v>575</v>
      </c>
      <c r="F69" s="704" t="s">
        <v>576</v>
      </c>
      <c r="G69" s="704" t="s">
        <v>577</v>
      </c>
      <c r="H69" s="670"/>
      <c r="I69" s="670"/>
      <c r="J69" s="670"/>
      <c r="K69" s="671"/>
      <c r="L69" s="672"/>
      <c r="M69" s="673"/>
      <c r="N69" s="2159"/>
      <c r="O69" s="2159"/>
      <c r="P69" s="2160"/>
      <c r="Q69" s="2153"/>
      <c r="R69" s="2140"/>
      <c r="S69" s="2140"/>
      <c r="T69" s="2140"/>
      <c r="U69" s="2140"/>
      <c r="V69" s="2140"/>
      <c r="W69" s="2140"/>
      <c r="X69" s="2140"/>
      <c r="Y69" s="2140"/>
      <c r="Z69" s="2140"/>
      <c r="AA69" s="2140"/>
      <c r="AB69" s="2140"/>
      <c r="AC69" s="2140"/>
    </row>
    <row r="70" spans="1:29" ht="15.75" thickBot="1">
      <c r="A70" s="665"/>
      <c r="B70" s="674"/>
      <c r="C70" s="675">
        <v>100</v>
      </c>
      <c r="D70" s="675">
        <f>C70-$K20</f>
        <v>100</v>
      </c>
      <c r="E70" s="675">
        <f>D70-$K20</f>
        <v>100</v>
      </c>
      <c r="F70" s="675">
        <f>E70-$K20</f>
        <v>100</v>
      </c>
      <c r="G70" s="675">
        <f>F70-$K20</f>
        <v>100</v>
      </c>
      <c r="H70" s="675"/>
      <c r="I70" s="675"/>
      <c r="J70" s="675"/>
      <c r="K70" s="675"/>
      <c r="L70" s="675"/>
      <c r="M70" s="676"/>
      <c r="N70" s="2161"/>
      <c r="O70" s="2161"/>
      <c r="P70" s="2160"/>
      <c r="Q70" s="2153"/>
      <c r="R70" s="2140"/>
      <c r="S70" s="2140"/>
      <c r="T70" s="2140"/>
      <c r="U70" s="2140"/>
      <c r="V70" s="2140"/>
      <c r="W70" s="2140"/>
      <c r="X70" s="2140"/>
      <c r="Y70" s="2140"/>
      <c r="Z70" s="2140"/>
      <c r="AA70" s="2140"/>
      <c r="AB70" s="2140"/>
      <c r="AC70" s="2140"/>
    </row>
    <row r="71" spans="1:29" ht="15.75" thickTop="1">
      <c r="A71" s="665"/>
      <c r="B71" s="669" t="s">
        <v>738</v>
      </c>
      <c r="C71" s="684"/>
      <c r="D71" s="684"/>
      <c r="E71" s="684"/>
      <c r="F71" s="684"/>
      <c r="G71" s="684"/>
      <c r="H71" s="714"/>
      <c r="I71" s="714"/>
      <c r="J71" s="714"/>
      <c r="K71" s="715"/>
      <c r="L71" s="716"/>
      <c r="M71" s="717"/>
      <c r="N71" s="2159"/>
      <c r="O71" s="2159"/>
      <c r="P71" s="2160"/>
      <c r="Q71" s="2153"/>
      <c r="R71" s="2140"/>
      <c r="S71" s="2140"/>
      <c r="T71" s="2140"/>
      <c r="U71" s="2140"/>
      <c r="V71" s="2140"/>
      <c r="W71" s="2140"/>
      <c r="X71" s="2140"/>
      <c r="Y71" s="2140"/>
      <c r="Z71" s="2140"/>
      <c r="AA71" s="2140"/>
      <c r="AB71" s="2140"/>
      <c r="AC71" s="2140"/>
    </row>
    <row r="72" spans="1:29" ht="15.75" thickBot="1">
      <c r="A72" s="665"/>
      <c r="B72" s="674"/>
      <c r="C72" s="675">
        <v>100</v>
      </c>
      <c r="D72" s="675">
        <f>C72-$K22</f>
        <v>100</v>
      </c>
      <c r="E72" s="675">
        <f>D72-$K22</f>
        <v>100</v>
      </c>
      <c r="F72" s="675">
        <f>E72-$K22</f>
        <v>100</v>
      </c>
      <c r="G72" s="675">
        <f>F72-$K22</f>
        <v>100</v>
      </c>
      <c r="H72" s="675"/>
      <c r="I72" s="675"/>
      <c r="J72" s="675"/>
      <c r="K72" s="675"/>
      <c r="L72" s="675"/>
      <c r="M72" s="676"/>
      <c r="N72" s="2161"/>
      <c r="O72" s="2161"/>
      <c r="P72" s="2160"/>
      <c r="Q72" s="2153"/>
      <c r="R72" s="2140"/>
      <c r="S72" s="2140"/>
      <c r="T72" s="2140"/>
      <c r="U72" s="2140"/>
      <c r="V72" s="2140"/>
      <c r="W72" s="2140"/>
      <c r="X72" s="2140"/>
      <c r="Y72" s="2140"/>
      <c r="Z72" s="2140"/>
      <c r="AA72" s="2140"/>
      <c r="AB72" s="2140"/>
      <c r="AC72" s="2140"/>
    </row>
    <row r="73" spans="1:29" s="1215" customFormat="1" ht="15.75" thickTop="1">
      <c r="A73" s="705"/>
      <c r="B73" s="669">
        <f>B23</f>
        <v>111</v>
      </c>
      <c r="C73" s="537"/>
      <c r="D73" s="537"/>
      <c r="E73" s="537"/>
      <c r="F73" s="537"/>
      <c r="G73" s="684"/>
      <c r="H73" s="684"/>
      <c r="I73" s="684"/>
      <c r="J73" s="684"/>
      <c r="K73" s="684"/>
      <c r="L73" s="885"/>
      <c r="M73" s="886"/>
      <c r="N73" s="2157"/>
      <c r="O73" s="2157"/>
      <c r="P73" s="2160"/>
      <c r="Q73" s="2153"/>
      <c r="R73" s="1988"/>
      <c r="S73" s="1988"/>
      <c r="T73" s="1988"/>
      <c r="U73" s="1988"/>
      <c r="V73" s="1988"/>
      <c r="W73" s="1988"/>
      <c r="X73" s="1988"/>
      <c r="Y73" s="1988"/>
      <c r="Z73" s="1988"/>
      <c r="AA73" s="1988"/>
      <c r="AB73" s="1988"/>
      <c r="AC73" s="1988"/>
    </row>
    <row r="74" spans="1:29" s="1215" customFormat="1" ht="15.75" thickBot="1">
      <c r="A74" s="705"/>
      <c r="B74" s="674"/>
      <c r="C74" s="688"/>
      <c r="D74" s="667"/>
      <c r="E74" s="667"/>
      <c r="F74" s="667"/>
      <c r="G74" s="667"/>
      <c r="H74" s="667"/>
      <c r="I74" s="667"/>
      <c r="J74" s="667"/>
      <c r="K74" s="667"/>
      <c r="L74" s="667"/>
      <c r="M74" s="668"/>
      <c r="N74" s="2161"/>
      <c r="O74" s="2161"/>
      <c r="P74" s="2160"/>
      <c r="Q74" s="2153"/>
      <c r="R74" s="1988"/>
      <c r="S74" s="1988"/>
      <c r="T74" s="1988"/>
      <c r="U74" s="1988"/>
      <c r="V74" s="1988"/>
      <c r="W74" s="1988"/>
      <c r="X74" s="1988"/>
      <c r="Y74" s="1988"/>
      <c r="Z74" s="1988"/>
      <c r="AA74" s="1988"/>
      <c r="AB74" s="1988"/>
      <c r="AC74" s="1988"/>
    </row>
    <row r="75" spans="1:29" s="1215" customFormat="1" ht="15.75" thickTop="1">
      <c r="A75" s="705"/>
      <c r="B75" s="669">
        <f>B24</f>
        <v>111</v>
      </c>
      <c r="C75" s="537"/>
      <c r="D75" s="537"/>
      <c r="E75" s="537"/>
      <c r="F75" s="537"/>
      <c r="G75" s="684"/>
      <c r="H75" s="684"/>
      <c r="I75" s="684"/>
      <c r="J75" s="684"/>
      <c r="K75" s="684"/>
      <c r="L75" s="684"/>
      <c r="M75" s="886"/>
      <c r="N75" s="2157"/>
      <c r="O75" s="2157"/>
      <c r="P75" s="2160"/>
      <c r="Q75" s="2153"/>
      <c r="R75" s="1988"/>
      <c r="S75" s="1988"/>
      <c r="T75" s="1988"/>
      <c r="U75" s="1988"/>
      <c r="V75" s="1988"/>
      <c r="W75" s="1988"/>
      <c r="X75" s="1988"/>
      <c r="Y75" s="1988"/>
      <c r="Z75" s="1988"/>
      <c r="AA75" s="1988"/>
      <c r="AB75" s="1988"/>
      <c r="AC75" s="1988"/>
    </row>
    <row r="76" spans="1:29" s="1215" customFormat="1" ht="15.75" thickBot="1">
      <c r="A76" s="705"/>
      <c r="B76" s="674"/>
      <c r="C76" s="688"/>
      <c r="D76" s="667"/>
      <c r="E76" s="667"/>
      <c r="F76" s="667"/>
      <c r="G76" s="667"/>
      <c r="H76" s="667"/>
      <c r="I76" s="667"/>
      <c r="J76" s="667"/>
      <c r="K76" s="667"/>
      <c r="L76" s="667"/>
      <c r="M76" s="668"/>
      <c r="N76" s="2161"/>
      <c r="O76" s="2161"/>
      <c r="P76" s="2160"/>
      <c r="Q76" s="2153"/>
      <c r="R76" s="1988"/>
      <c r="S76" s="1988"/>
      <c r="T76" s="1988"/>
      <c r="U76" s="1988"/>
      <c r="V76" s="1988"/>
      <c r="W76" s="1988"/>
      <c r="X76" s="1988"/>
      <c r="Y76" s="1988"/>
      <c r="Z76" s="1988"/>
      <c r="AA76" s="1988"/>
      <c r="AB76" s="1988"/>
      <c r="AC76" s="1988"/>
    </row>
    <row r="77" spans="1:29" s="1334" customFormat="1" ht="15.75" thickTop="1">
      <c r="A77" s="683"/>
      <c r="B77" s="669">
        <f>B25</f>
        <v>111</v>
      </c>
      <c r="C77" s="684"/>
      <c r="D77" s="684"/>
      <c r="E77" s="684"/>
      <c r="F77" s="684"/>
      <c r="G77" s="684"/>
      <c r="H77" s="685"/>
      <c r="I77" s="685"/>
      <c r="J77" s="685"/>
      <c r="K77" s="685"/>
      <c r="L77" s="686"/>
      <c r="M77" s="687"/>
      <c r="N77" s="2162"/>
      <c r="O77" s="2162"/>
      <c r="P77" s="2163"/>
      <c r="Q77" s="2164"/>
      <c r="R77" s="2165"/>
      <c r="S77" s="2165"/>
      <c r="T77" s="2165"/>
      <c r="U77" s="2165"/>
      <c r="V77" s="2165"/>
      <c r="W77" s="2165"/>
      <c r="X77" s="2165"/>
      <c r="Y77" s="2165"/>
      <c r="Z77" s="2165"/>
      <c r="AA77" s="2165"/>
      <c r="AB77" s="2165"/>
      <c r="AC77" s="2165"/>
    </row>
    <row r="78" spans="1:29" s="1334" customFormat="1" ht="15.75" thickBot="1">
      <c r="A78" s="683"/>
      <c r="B78" s="674"/>
      <c r="C78" s="688"/>
      <c r="D78" s="688"/>
      <c r="E78" s="688"/>
      <c r="F78" s="688"/>
      <c r="G78" s="667"/>
      <c r="H78" s="667"/>
      <c r="I78" s="667"/>
      <c r="J78" s="667"/>
      <c r="K78" s="667"/>
      <c r="L78" s="667"/>
      <c r="M78" s="668"/>
      <c r="N78" s="2162"/>
      <c r="O78" s="2162"/>
      <c r="P78" s="2163"/>
      <c r="Q78" s="2164"/>
      <c r="R78" s="2165"/>
      <c r="S78" s="2165"/>
      <c r="T78" s="2165"/>
      <c r="U78" s="2165"/>
      <c r="V78" s="2165"/>
      <c r="W78" s="2165"/>
      <c r="X78" s="2165"/>
      <c r="Y78" s="2165"/>
      <c r="Z78" s="2165"/>
      <c r="AA78" s="2165"/>
      <c r="AB78" s="2165"/>
      <c r="AC78" s="2165"/>
    </row>
    <row r="79" spans="1:29" ht="27.75" thickTop="1">
      <c r="A79" s="660" t="s">
        <v>545</v>
      </c>
      <c r="B79" s="661" t="s">
        <v>807</v>
      </c>
      <c r="C79" s="700">
        <f>C26</f>
        <v>0</v>
      </c>
      <c r="D79" s="594"/>
      <c r="E79" s="594"/>
      <c r="F79" s="594"/>
      <c r="G79" s="594"/>
      <c r="H79" s="594"/>
      <c r="I79" s="594"/>
      <c r="J79" s="594"/>
      <c r="K79" s="662"/>
      <c r="L79" s="663"/>
      <c r="M79" s="664"/>
      <c r="N79" s="2159"/>
      <c r="O79" s="2159"/>
      <c r="P79" s="2160"/>
      <c r="Q79" s="2153"/>
      <c r="R79" s="2140"/>
      <c r="S79" s="2140"/>
      <c r="T79" s="2140"/>
      <c r="U79" s="2140"/>
      <c r="V79" s="2140"/>
      <c r="W79" s="2140"/>
      <c r="X79" s="2140"/>
      <c r="Y79" s="2140"/>
      <c r="Z79" s="2140"/>
      <c r="AA79" s="2140"/>
      <c r="AB79" s="2140"/>
      <c r="AC79" s="2140"/>
    </row>
    <row r="80" spans="1:29" ht="15.75" thickBot="1">
      <c r="A80" s="665"/>
      <c r="B80" s="674"/>
      <c r="C80" s="675">
        <v>100</v>
      </c>
      <c r="D80" s="675">
        <f t="shared" ref="D80:M80" si="17">C80-$K26</f>
        <v>100</v>
      </c>
      <c r="E80" s="675">
        <f t="shared" si="17"/>
        <v>100</v>
      </c>
      <c r="F80" s="675">
        <f t="shared" si="17"/>
        <v>100</v>
      </c>
      <c r="G80" s="675">
        <f t="shared" si="17"/>
        <v>100</v>
      </c>
      <c r="H80" s="675">
        <f t="shared" si="17"/>
        <v>100</v>
      </c>
      <c r="I80" s="675">
        <f t="shared" si="17"/>
        <v>100</v>
      </c>
      <c r="J80" s="675">
        <f t="shared" si="17"/>
        <v>100</v>
      </c>
      <c r="K80" s="675">
        <f t="shared" si="17"/>
        <v>100</v>
      </c>
      <c r="L80" s="675">
        <f t="shared" si="17"/>
        <v>100</v>
      </c>
      <c r="M80" s="676">
        <f t="shared" si="17"/>
        <v>100</v>
      </c>
      <c r="N80" s="2161"/>
      <c r="O80" s="2161"/>
      <c r="P80" s="2160"/>
      <c r="Q80" s="2153"/>
      <c r="R80" s="2140"/>
      <c r="S80" s="2140"/>
      <c r="T80" s="2140"/>
      <c r="U80" s="2140"/>
      <c r="V80" s="2140"/>
      <c r="W80" s="2140"/>
      <c r="X80" s="2140"/>
      <c r="Y80" s="2140"/>
      <c r="Z80" s="2140"/>
      <c r="AA80" s="2140"/>
      <c r="AB80" s="2140"/>
      <c r="AC80" s="2140"/>
    </row>
    <row r="81" spans="1:29" ht="15.75" thickTop="1">
      <c r="A81" s="665"/>
      <c r="B81" s="669" t="s">
        <v>808</v>
      </c>
      <c r="C81" s="931"/>
      <c r="D81" s="931"/>
      <c r="E81" s="931"/>
      <c r="F81" s="931"/>
      <c r="G81" s="931"/>
      <c r="H81" s="931"/>
      <c r="I81" s="931"/>
      <c r="J81" s="931"/>
      <c r="K81" s="932"/>
      <c r="L81" s="933"/>
      <c r="M81" s="934"/>
      <c r="N81" s="2157"/>
      <c r="O81" s="2157"/>
      <c r="P81" s="2160"/>
      <c r="Q81" s="2153"/>
      <c r="R81" s="2140"/>
      <c r="S81" s="2140"/>
      <c r="T81" s="2140"/>
      <c r="U81" s="2140"/>
      <c r="V81" s="2140"/>
      <c r="W81" s="2140"/>
      <c r="X81" s="2140"/>
      <c r="Y81" s="2140"/>
      <c r="Z81" s="2140"/>
      <c r="AA81" s="2140"/>
      <c r="AB81" s="2140"/>
      <c r="AC81" s="2140"/>
    </row>
    <row r="82" spans="1:29" s="1334" customFormat="1" ht="15.75" thickBot="1">
      <c r="A82" s="683"/>
      <c r="B82" s="674"/>
      <c r="C82" s="688"/>
      <c r="D82" s="667"/>
      <c r="E82" s="667"/>
      <c r="F82" s="667"/>
      <c r="G82" s="667"/>
      <c r="H82" s="667"/>
      <c r="I82" s="667"/>
      <c r="J82" s="667"/>
      <c r="K82" s="667"/>
      <c r="L82" s="667"/>
      <c r="M82" s="668"/>
      <c r="N82" s="2161"/>
      <c r="O82" s="2161"/>
      <c r="P82" s="2163"/>
      <c r="Q82" s="2164"/>
      <c r="R82" s="2165"/>
      <c r="S82" s="2165"/>
      <c r="T82" s="2165"/>
      <c r="U82" s="2165"/>
      <c r="V82" s="2165"/>
      <c r="W82" s="2165"/>
      <c r="X82" s="2165"/>
      <c r="Y82" s="2165"/>
      <c r="Z82" s="2165"/>
      <c r="AA82" s="2165"/>
      <c r="AB82" s="2165"/>
      <c r="AC82" s="2165"/>
    </row>
    <row r="83" spans="1:29" ht="15" thickTop="1">
      <c r="A83" s="731"/>
      <c r="B83" s="669" t="s">
        <v>744</v>
      </c>
      <c r="C83" s="684"/>
      <c r="D83" s="684"/>
      <c r="E83" s="714"/>
      <c r="F83" s="714"/>
      <c r="G83" s="714"/>
      <c r="H83" s="714"/>
      <c r="I83" s="714"/>
      <c r="J83" s="714"/>
      <c r="K83" s="715"/>
      <c r="L83" s="716"/>
      <c r="M83" s="717"/>
      <c r="N83" s="2159"/>
      <c r="O83" s="2159"/>
      <c r="P83" s="2160"/>
      <c r="Q83" s="2153"/>
      <c r="R83" s="2140"/>
      <c r="S83" s="2140"/>
      <c r="T83" s="2140"/>
      <c r="U83" s="2140"/>
      <c r="V83" s="2140"/>
      <c r="W83" s="2140"/>
      <c r="X83" s="2140"/>
      <c r="Y83" s="2140"/>
      <c r="Z83" s="2140"/>
      <c r="AA83" s="2140"/>
      <c r="AB83" s="2140"/>
      <c r="AC83" s="2140"/>
    </row>
    <row r="84" spans="1:29" ht="15.75" thickBot="1">
      <c r="A84" s="665"/>
      <c r="B84" s="674"/>
      <c r="C84" s="675">
        <v>100</v>
      </c>
      <c r="D84" s="675">
        <f t="shared" ref="D84:M84" si="18">C84-$K28</f>
        <v>100</v>
      </c>
      <c r="E84" s="675">
        <f t="shared" si="18"/>
        <v>100</v>
      </c>
      <c r="F84" s="675">
        <f t="shared" si="18"/>
        <v>100</v>
      </c>
      <c r="G84" s="675">
        <f t="shared" si="18"/>
        <v>100</v>
      </c>
      <c r="H84" s="675">
        <f t="shared" si="18"/>
        <v>100</v>
      </c>
      <c r="I84" s="675">
        <f t="shared" si="18"/>
        <v>100</v>
      </c>
      <c r="J84" s="675">
        <f t="shared" si="18"/>
        <v>100</v>
      </c>
      <c r="K84" s="675">
        <f t="shared" si="18"/>
        <v>100</v>
      </c>
      <c r="L84" s="675">
        <f t="shared" si="18"/>
        <v>100</v>
      </c>
      <c r="M84" s="676">
        <f t="shared" si="18"/>
        <v>100</v>
      </c>
      <c r="N84" s="2161"/>
      <c r="O84" s="2161"/>
      <c r="P84" s="2160"/>
      <c r="Q84" s="2153"/>
      <c r="R84" s="2140"/>
      <c r="S84" s="2140"/>
      <c r="T84" s="2140"/>
      <c r="U84" s="2140"/>
      <c r="V84" s="2140"/>
      <c r="W84" s="2140"/>
      <c r="X84" s="2140"/>
      <c r="Y84" s="2140"/>
      <c r="Z84" s="2140"/>
      <c r="AA84" s="2140"/>
      <c r="AB84" s="2140"/>
      <c r="AC84" s="2140"/>
    </row>
    <row r="85" spans="1:29" ht="15" thickTop="1">
      <c r="A85" s="731"/>
      <c r="B85" s="669" t="s">
        <v>809</v>
      </c>
      <c r="C85" s="704" t="str">
        <f>C86&amp;"(含)"&amp;"-"&amp;D86</f>
        <v>0.5(含)-0.6</v>
      </c>
      <c r="D85" s="704" t="str">
        <f>D86&amp;"(含)"&amp;"-"&amp;E86</f>
        <v>0.6(含)-0.7</v>
      </c>
      <c r="E85" s="704" t="str">
        <f>E86&amp;"(含)"&amp;"-"&amp;F86</f>
        <v>0.7(含)-0.8</v>
      </c>
      <c r="F85" s="704" t="str">
        <f>F86&amp;"(含)"&amp;"-"&amp;G86</f>
        <v>0.8(含)-0.9</v>
      </c>
      <c r="G85" s="704" t="str">
        <f>G86&amp;"(含)"&amp;"-"&amp;ROUND(H86,0)</f>
        <v>0.9(含)-1</v>
      </c>
      <c r="H85" s="704"/>
      <c r="I85" s="714"/>
      <c r="J85" s="714"/>
      <c r="K85" s="715"/>
      <c r="L85" s="716"/>
      <c r="M85" s="717"/>
      <c r="N85" s="2159"/>
      <c r="O85" s="2159"/>
      <c r="P85" s="2160"/>
      <c r="Q85" s="2153"/>
      <c r="R85" s="2140"/>
      <c r="S85" s="2140"/>
      <c r="T85" s="2140"/>
      <c r="U85" s="2140"/>
      <c r="V85" s="2140"/>
      <c r="W85" s="2140"/>
      <c r="X85" s="2140"/>
      <c r="Y85" s="2140"/>
      <c r="Z85" s="2140"/>
      <c r="AA85" s="2140"/>
      <c r="AB85" s="2140"/>
      <c r="AC85" s="2140"/>
    </row>
    <row r="86" spans="1:29">
      <c r="A86" s="731"/>
      <c r="B86" s="677"/>
      <c r="C86" s="889">
        <v>0.5</v>
      </c>
      <c r="D86" s="889">
        <v>0.6</v>
      </c>
      <c r="E86" s="889">
        <v>0.7</v>
      </c>
      <c r="F86" s="889">
        <v>0.8</v>
      </c>
      <c r="G86" s="889">
        <v>0.9</v>
      </c>
      <c r="H86" s="889">
        <v>1.0001</v>
      </c>
      <c r="I86" s="900"/>
      <c r="J86" s="900"/>
      <c r="K86" s="901"/>
      <c r="L86" s="902"/>
      <c r="M86" s="903"/>
      <c r="N86" s="2159"/>
      <c r="O86" s="2159"/>
      <c r="P86" s="2160"/>
      <c r="Q86" s="2153"/>
      <c r="R86" s="2140"/>
      <c r="S86" s="2140"/>
      <c r="T86" s="2140"/>
      <c r="U86" s="2140"/>
      <c r="V86" s="2140"/>
      <c r="W86" s="2140"/>
      <c r="X86" s="2140"/>
      <c r="Y86" s="2140"/>
      <c r="Z86" s="2140"/>
      <c r="AA86" s="2140"/>
      <c r="AB86" s="2140"/>
      <c r="AC86" s="2140"/>
    </row>
    <row r="87" spans="1:29" ht="15.75" thickBot="1">
      <c r="A87" s="665"/>
      <c r="B87" s="674"/>
      <c r="C87" s="708">
        <v>100</v>
      </c>
      <c r="D87" s="675">
        <f>C87+$K$29</f>
        <v>100</v>
      </c>
      <c r="E87" s="675">
        <f t="shared" ref="E87:M87" si="19">D87+$K$29</f>
        <v>100</v>
      </c>
      <c r="F87" s="675">
        <f t="shared" si="19"/>
        <v>100</v>
      </c>
      <c r="G87" s="675">
        <f t="shared" si="19"/>
        <v>100</v>
      </c>
      <c r="H87" s="675">
        <f t="shared" si="19"/>
        <v>100</v>
      </c>
      <c r="I87" s="675">
        <f t="shared" si="19"/>
        <v>100</v>
      </c>
      <c r="J87" s="675">
        <f t="shared" si="19"/>
        <v>100</v>
      </c>
      <c r="K87" s="675">
        <f t="shared" si="19"/>
        <v>100</v>
      </c>
      <c r="L87" s="675">
        <f t="shared" si="19"/>
        <v>100</v>
      </c>
      <c r="M87" s="675">
        <f t="shared" si="19"/>
        <v>100</v>
      </c>
      <c r="N87" s="2161"/>
      <c r="O87" s="2161"/>
      <c r="P87" s="2160"/>
      <c r="Q87" s="2153"/>
      <c r="R87" s="2140"/>
      <c r="S87" s="2140"/>
      <c r="T87" s="2140"/>
      <c r="U87" s="2140"/>
      <c r="V87" s="2140"/>
      <c r="W87" s="2140"/>
      <c r="X87" s="2140"/>
      <c r="Y87" s="2140"/>
      <c r="Z87" s="2140"/>
      <c r="AA87" s="2140"/>
      <c r="AB87" s="2140"/>
      <c r="AC87" s="2140"/>
    </row>
    <row r="88" spans="1:29" ht="15" thickTop="1">
      <c r="A88" s="731"/>
      <c r="B88" s="677" t="s">
        <v>810</v>
      </c>
      <c r="C88" s="594"/>
      <c r="D88" s="594"/>
      <c r="E88" s="594"/>
      <c r="F88" s="594"/>
      <c r="G88" s="594"/>
      <c r="H88" s="594"/>
      <c r="I88" s="594"/>
      <c r="J88" s="594"/>
      <c r="K88" s="662"/>
      <c r="L88" s="663"/>
      <c r="M88" s="664"/>
      <c r="N88" s="2159"/>
      <c r="O88" s="2159"/>
      <c r="P88" s="2160"/>
      <c r="Q88" s="2153"/>
      <c r="R88" s="2140"/>
      <c r="S88" s="2140"/>
      <c r="T88" s="2140"/>
      <c r="U88" s="2140"/>
      <c r="V88" s="2140"/>
      <c r="W88" s="2140"/>
      <c r="X88" s="2140"/>
      <c r="Y88" s="2140"/>
      <c r="Z88" s="2140"/>
      <c r="AA88" s="2140"/>
      <c r="AB88" s="2140"/>
      <c r="AC88" s="2140"/>
    </row>
    <row r="89" spans="1:29" ht="15.75" thickBot="1">
      <c r="A89" s="665"/>
      <c r="B89" s="674"/>
      <c r="C89" s="708">
        <v>100</v>
      </c>
      <c r="D89" s="675">
        <f t="shared" ref="D89:M89" si="20">C89+$K30</f>
        <v>100</v>
      </c>
      <c r="E89" s="675">
        <f t="shared" si="20"/>
        <v>100</v>
      </c>
      <c r="F89" s="675">
        <f t="shared" si="20"/>
        <v>100</v>
      </c>
      <c r="G89" s="675">
        <f t="shared" si="20"/>
        <v>100</v>
      </c>
      <c r="H89" s="675">
        <f t="shared" si="20"/>
        <v>100</v>
      </c>
      <c r="I89" s="675">
        <f t="shared" si="20"/>
        <v>100</v>
      </c>
      <c r="J89" s="675">
        <f t="shared" si="20"/>
        <v>100</v>
      </c>
      <c r="K89" s="675">
        <f t="shared" si="20"/>
        <v>100</v>
      </c>
      <c r="L89" s="675">
        <f t="shared" si="20"/>
        <v>100</v>
      </c>
      <c r="M89" s="675">
        <f t="shared" si="20"/>
        <v>100</v>
      </c>
      <c r="N89" s="2161"/>
      <c r="O89" s="2161"/>
      <c r="P89" s="2160"/>
      <c r="Q89" s="2153"/>
      <c r="R89" s="2140"/>
      <c r="S89" s="2140"/>
      <c r="T89" s="2140"/>
      <c r="U89" s="2140"/>
      <c r="V89" s="2140"/>
      <c r="W89" s="2140"/>
      <c r="X89" s="2140"/>
      <c r="Y89" s="2140"/>
      <c r="Z89" s="2140"/>
      <c r="AA89" s="2140"/>
      <c r="AB89" s="2140"/>
      <c r="AC89" s="2140"/>
    </row>
    <row r="90" spans="1:29" s="1334" customFormat="1" ht="15" thickTop="1">
      <c r="A90" s="724"/>
      <c r="B90" s="669" t="s">
        <v>811</v>
      </c>
      <c r="C90" s="704" t="str">
        <f>C91&amp;"(含)"&amp;"-"&amp;D91</f>
        <v>(含)-</v>
      </c>
      <c r="D90" s="704" t="str">
        <f t="shared" ref="D90:L90" si="21">D91&amp;"(含)"&amp;"-"&amp;E91</f>
        <v>(含)-</v>
      </c>
      <c r="E90" s="704" t="str">
        <f t="shared" si="21"/>
        <v>(含)-</v>
      </c>
      <c r="F90" s="704" t="str">
        <f t="shared" si="21"/>
        <v>(含)-</v>
      </c>
      <c r="G90" s="704" t="str">
        <f t="shared" si="21"/>
        <v>(含)-</v>
      </c>
      <c r="H90" s="704" t="str">
        <f t="shared" si="21"/>
        <v>(含)-</v>
      </c>
      <c r="I90" s="704" t="str">
        <f t="shared" si="21"/>
        <v>(含)-</v>
      </c>
      <c r="J90" s="704" t="str">
        <f t="shared" si="21"/>
        <v>(含)-</v>
      </c>
      <c r="K90" s="704" t="str">
        <f t="shared" si="21"/>
        <v>(含)-</v>
      </c>
      <c r="L90" s="704" t="str">
        <f t="shared" si="21"/>
        <v>(含)-</v>
      </c>
      <c r="M90" s="707" t="str">
        <f>M91&amp;"(含)"&amp;"-"&amp;P91</f>
        <v>(含)-</v>
      </c>
      <c r="N90" s="2162"/>
      <c r="O90" s="2162"/>
      <c r="P90" s="2163"/>
      <c r="Q90" s="2164"/>
      <c r="R90" s="2165"/>
      <c r="S90" s="2165"/>
      <c r="T90" s="2165"/>
      <c r="U90" s="2165"/>
      <c r="V90" s="2165"/>
      <c r="W90" s="2165"/>
      <c r="X90" s="2165"/>
      <c r="Y90" s="2165"/>
      <c r="Z90" s="2165"/>
      <c r="AA90" s="2165"/>
      <c r="AB90" s="2165"/>
      <c r="AC90" s="2165"/>
    </row>
    <row r="91" spans="1:29" s="1334" customFormat="1">
      <c r="A91" s="724"/>
      <c r="B91" s="677"/>
      <c r="C91" s="726"/>
      <c r="D91" s="726"/>
      <c r="E91" s="726"/>
      <c r="F91" s="726"/>
      <c r="G91" s="726"/>
      <c r="H91" s="726"/>
      <c r="I91" s="726"/>
      <c r="J91" s="727"/>
      <c r="K91" s="727"/>
      <c r="L91" s="728"/>
      <c r="M91" s="729"/>
      <c r="N91" s="2162"/>
      <c r="O91" s="2162"/>
      <c r="P91" s="2163"/>
      <c r="Q91" s="2164"/>
      <c r="R91" s="2165"/>
      <c r="S91" s="2165"/>
      <c r="T91" s="2165"/>
      <c r="U91" s="2165"/>
      <c r="V91" s="2165"/>
      <c r="W91" s="2165"/>
      <c r="X91" s="2165"/>
      <c r="Y91" s="2165"/>
      <c r="Z91" s="2165"/>
      <c r="AA91" s="2165"/>
      <c r="AB91" s="2165"/>
      <c r="AC91" s="2165"/>
    </row>
    <row r="92" spans="1:29" s="1334" customFormat="1" ht="15.75" thickBot="1">
      <c r="A92" s="683"/>
      <c r="B92" s="674"/>
      <c r="C92" s="688"/>
      <c r="D92" s="667"/>
      <c r="E92" s="667"/>
      <c r="F92" s="667"/>
      <c r="G92" s="667"/>
      <c r="H92" s="667"/>
      <c r="I92" s="667"/>
      <c r="J92" s="667"/>
      <c r="K92" s="667"/>
      <c r="L92" s="667"/>
      <c r="M92" s="668"/>
      <c r="N92" s="2162"/>
      <c r="O92" s="2162"/>
      <c r="P92" s="2163"/>
      <c r="Q92" s="2164"/>
      <c r="R92" s="2165"/>
      <c r="S92" s="2165"/>
      <c r="T92" s="2165"/>
      <c r="U92" s="2165"/>
      <c r="V92" s="2165"/>
      <c r="W92" s="2165"/>
      <c r="X92" s="2165"/>
      <c r="Y92" s="2165"/>
      <c r="Z92" s="2165"/>
      <c r="AA92" s="2165"/>
      <c r="AB92" s="2165"/>
      <c r="AC92" s="2165"/>
    </row>
    <row r="93" spans="1:29" ht="15" thickTop="1">
      <c r="A93" s="731"/>
      <c r="B93" s="669" t="s">
        <v>812</v>
      </c>
      <c r="C93" s="684"/>
      <c r="D93" s="684"/>
      <c r="E93" s="714"/>
      <c r="F93" s="714"/>
      <c r="G93" s="714"/>
      <c r="H93" s="714"/>
      <c r="I93" s="714"/>
      <c r="J93" s="714"/>
      <c r="K93" s="715"/>
      <c r="L93" s="716"/>
      <c r="M93" s="717"/>
      <c r="N93" s="2159"/>
      <c r="O93" s="2159"/>
      <c r="P93" s="2160"/>
      <c r="Q93" s="2153"/>
      <c r="R93" s="2140"/>
      <c r="S93" s="2140"/>
      <c r="T93" s="2140"/>
      <c r="U93" s="2140"/>
      <c r="V93" s="2140"/>
      <c r="W93" s="2140"/>
      <c r="X93" s="2140"/>
      <c r="Y93" s="2140"/>
      <c r="Z93" s="2140"/>
      <c r="AA93" s="2140"/>
      <c r="AB93" s="2140"/>
      <c r="AC93" s="2140"/>
    </row>
    <row r="94" spans="1:29" ht="15.75" thickBot="1">
      <c r="A94" s="665"/>
      <c r="B94" s="674"/>
      <c r="C94" s="675">
        <v>100</v>
      </c>
      <c r="D94" s="675">
        <f t="shared" ref="D94:M94" si="22">C94-$K32</f>
        <v>100</v>
      </c>
      <c r="E94" s="675">
        <f t="shared" si="22"/>
        <v>100</v>
      </c>
      <c r="F94" s="675">
        <f t="shared" si="22"/>
        <v>100</v>
      </c>
      <c r="G94" s="675">
        <f t="shared" si="22"/>
        <v>100</v>
      </c>
      <c r="H94" s="675">
        <f t="shared" si="22"/>
        <v>100</v>
      </c>
      <c r="I94" s="675">
        <f t="shared" si="22"/>
        <v>100</v>
      </c>
      <c r="J94" s="675">
        <f t="shared" si="22"/>
        <v>100</v>
      </c>
      <c r="K94" s="675">
        <f t="shared" si="22"/>
        <v>100</v>
      </c>
      <c r="L94" s="675">
        <f t="shared" si="22"/>
        <v>100</v>
      </c>
      <c r="M94" s="676">
        <f t="shared" si="22"/>
        <v>100</v>
      </c>
      <c r="N94" s="2161"/>
      <c r="O94" s="2161"/>
      <c r="P94" s="2160"/>
      <c r="Q94" s="2153"/>
      <c r="R94" s="2140"/>
      <c r="S94" s="2140"/>
      <c r="T94" s="2140"/>
      <c r="U94" s="2140"/>
      <c r="V94" s="2140"/>
      <c r="W94" s="2140"/>
      <c r="X94" s="2140"/>
      <c r="Y94" s="2140"/>
      <c r="Z94" s="2140"/>
      <c r="AA94" s="2140"/>
      <c r="AB94" s="2140"/>
      <c r="AC94" s="2140"/>
    </row>
    <row r="95" spans="1:29" ht="15" thickTop="1">
      <c r="A95" s="731"/>
      <c r="B95" s="669" t="s">
        <v>813</v>
      </c>
      <c r="C95" s="594"/>
      <c r="D95" s="594"/>
      <c r="E95" s="594"/>
      <c r="F95" s="594"/>
      <c r="G95" s="594"/>
      <c r="H95" s="594"/>
      <c r="I95" s="594"/>
      <c r="J95" s="594"/>
      <c r="K95" s="662"/>
      <c r="L95" s="663"/>
      <c r="M95" s="664"/>
      <c r="N95" s="2159"/>
      <c r="O95" s="2159"/>
      <c r="P95" s="2160"/>
      <c r="Q95" s="2153"/>
      <c r="R95" s="2140"/>
      <c r="S95" s="2140"/>
      <c r="T95" s="2140"/>
      <c r="U95" s="2140"/>
      <c r="V95" s="2140"/>
      <c r="W95" s="2140"/>
      <c r="X95" s="2140"/>
      <c r="Y95" s="2140"/>
      <c r="Z95" s="2140"/>
      <c r="AA95" s="2140"/>
      <c r="AB95" s="2140"/>
      <c r="AC95" s="2140"/>
    </row>
    <row r="96" spans="1:29" ht="15.75" thickBot="1">
      <c r="A96" s="665"/>
      <c r="B96" s="674"/>
      <c r="C96" s="675">
        <v>100</v>
      </c>
      <c r="D96" s="675">
        <f>C96-$K33</f>
        <v>100</v>
      </c>
      <c r="E96" s="675">
        <f>D96-$K33</f>
        <v>100</v>
      </c>
      <c r="F96" s="675">
        <f>E96-$K33</f>
        <v>100</v>
      </c>
      <c r="G96" s="675">
        <f>F96-$K33</f>
        <v>100</v>
      </c>
      <c r="H96" s="675"/>
      <c r="I96" s="675"/>
      <c r="J96" s="675"/>
      <c r="K96" s="675"/>
      <c r="L96" s="675"/>
      <c r="M96" s="676"/>
      <c r="N96" s="2161"/>
      <c r="O96" s="2161"/>
      <c r="P96" s="2160"/>
      <c r="Q96" s="2153"/>
      <c r="R96" s="2140"/>
      <c r="S96" s="2140"/>
      <c r="T96" s="2140"/>
      <c r="U96" s="2140"/>
      <c r="V96" s="2140"/>
      <c r="W96" s="2140"/>
      <c r="X96" s="2140"/>
      <c r="Y96" s="2140"/>
      <c r="Z96" s="2140"/>
      <c r="AA96" s="2140"/>
      <c r="AB96" s="2140"/>
      <c r="AC96" s="2140"/>
    </row>
    <row r="97" spans="1:29" ht="15" thickTop="1">
      <c r="A97" s="731"/>
      <c r="B97" s="912">
        <f>B34</f>
        <v>111</v>
      </c>
      <c r="C97" s="537"/>
      <c r="D97" s="537"/>
      <c r="E97" s="537"/>
      <c r="F97" s="537"/>
      <c r="G97" s="684"/>
      <c r="H97" s="685"/>
      <c r="I97" s="685"/>
      <c r="J97" s="685"/>
      <c r="K97" s="685"/>
      <c r="L97" s="686"/>
      <c r="M97" s="687"/>
      <c r="N97" s="2161"/>
      <c r="O97" s="2161"/>
      <c r="P97" s="2200"/>
      <c r="Q97" s="2201"/>
      <c r="R97" s="2140"/>
      <c r="S97" s="2140"/>
      <c r="T97" s="2140"/>
      <c r="U97" s="2140"/>
      <c r="V97" s="2140"/>
      <c r="W97" s="2140"/>
      <c r="X97" s="2140"/>
      <c r="Y97" s="2140"/>
      <c r="Z97" s="2140"/>
      <c r="AA97" s="2140"/>
      <c r="AB97" s="2140"/>
      <c r="AC97" s="2140"/>
    </row>
    <row r="98" spans="1:29" ht="15.75" thickBot="1">
      <c r="A98" s="665"/>
      <c r="B98" s="674"/>
      <c r="C98" s="688"/>
      <c r="D98" s="667"/>
      <c r="E98" s="667"/>
      <c r="F98" s="667"/>
      <c r="G98" s="688"/>
      <c r="H98" s="689"/>
      <c r="I98" s="689"/>
      <c r="J98" s="689"/>
      <c r="K98" s="689"/>
      <c r="L98" s="689"/>
      <c r="M98" s="690"/>
      <c r="N98" s="2161"/>
      <c r="O98" s="2161"/>
      <c r="P98" s="2160"/>
      <c r="Q98" s="2153"/>
      <c r="R98" s="2140"/>
      <c r="S98" s="2140"/>
      <c r="T98" s="2140"/>
      <c r="U98" s="2140"/>
      <c r="V98" s="2140"/>
      <c r="W98" s="2140"/>
      <c r="X98" s="2140"/>
      <c r="Y98" s="2140"/>
      <c r="Z98" s="2140"/>
      <c r="AA98" s="2140"/>
      <c r="AB98" s="2140"/>
      <c r="AC98" s="2140"/>
    </row>
    <row r="99" spans="1:29" s="1334" customFormat="1" ht="15" thickTop="1">
      <c r="A99" s="724"/>
      <c r="B99" s="669">
        <f>B35</f>
        <v>111</v>
      </c>
      <c r="C99" s="537"/>
      <c r="D99" s="537"/>
      <c r="E99" s="537"/>
      <c r="F99" s="537"/>
      <c r="G99" s="684"/>
      <c r="H99" s="685"/>
      <c r="I99" s="685"/>
      <c r="J99" s="685"/>
      <c r="K99" s="685"/>
      <c r="L99" s="686"/>
      <c r="M99" s="687"/>
      <c r="N99" s="2162"/>
      <c r="O99" s="2162"/>
      <c r="P99" s="2163"/>
      <c r="Q99" s="2164"/>
      <c r="R99" s="2165"/>
      <c r="S99" s="2165"/>
      <c r="T99" s="2165"/>
      <c r="U99" s="2165"/>
      <c r="V99" s="2165"/>
      <c r="W99" s="2165"/>
      <c r="X99" s="2165"/>
      <c r="Y99" s="2165"/>
      <c r="Z99" s="2165"/>
      <c r="AA99" s="2165"/>
      <c r="AB99" s="2165"/>
      <c r="AC99" s="2165"/>
    </row>
    <row r="100" spans="1:29" s="1334" customFormat="1" ht="15.75" thickBot="1">
      <c r="A100" s="683"/>
      <c r="B100" s="666"/>
      <c r="C100" s="688"/>
      <c r="D100" s="667"/>
      <c r="E100" s="667"/>
      <c r="F100" s="667"/>
      <c r="G100" s="688"/>
      <c r="H100" s="689"/>
      <c r="I100" s="689"/>
      <c r="J100" s="689"/>
      <c r="K100" s="689"/>
      <c r="L100" s="689"/>
      <c r="M100" s="690"/>
      <c r="N100" s="2162"/>
      <c r="O100" s="2162"/>
      <c r="P100" s="2163"/>
      <c r="Q100" s="2164"/>
      <c r="R100" s="2165"/>
      <c r="S100" s="2165"/>
      <c r="T100" s="2165"/>
      <c r="U100" s="2165"/>
      <c r="V100" s="2165"/>
      <c r="W100" s="2165"/>
      <c r="X100" s="2165"/>
      <c r="Y100" s="2165"/>
      <c r="Z100" s="2165"/>
      <c r="AA100" s="2165"/>
      <c r="AB100" s="2165"/>
      <c r="AC100" s="2165"/>
    </row>
    <row r="101" spans="1:29" ht="15" thickTop="1">
      <c r="A101" s="731"/>
      <c r="B101" s="669">
        <f>B36</f>
        <v>111</v>
      </c>
      <c r="C101" s="684"/>
      <c r="D101" s="684"/>
      <c r="E101" s="684"/>
      <c r="F101" s="684"/>
      <c r="G101" s="684"/>
      <c r="H101" s="685"/>
      <c r="I101" s="685"/>
      <c r="J101" s="685"/>
      <c r="K101" s="685"/>
      <c r="L101" s="686"/>
      <c r="M101" s="687"/>
      <c r="N101" s="2159"/>
      <c r="O101" s="2159"/>
      <c r="P101" s="2160"/>
      <c r="Q101" s="2153"/>
      <c r="R101" s="2140"/>
      <c r="S101" s="2140"/>
      <c r="T101" s="2140"/>
      <c r="U101" s="2140"/>
      <c r="V101" s="2140"/>
      <c r="W101" s="2140"/>
      <c r="X101" s="2140"/>
      <c r="Y101" s="2140"/>
      <c r="Z101" s="2140"/>
      <c r="AA101" s="2140"/>
      <c r="AB101" s="2140"/>
      <c r="AC101" s="2140"/>
    </row>
    <row r="102" spans="1:29" ht="15.75" thickBot="1">
      <c r="A102" s="665"/>
      <c r="B102" s="674"/>
      <c r="C102" s="688"/>
      <c r="D102" s="688"/>
      <c r="E102" s="688"/>
      <c r="F102" s="688"/>
      <c r="G102" s="688"/>
      <c r="H102" s="689"/>
      <c r="I102" s="689"/>
      <c r="J102" s="689"/>
      <c r="K102" s="689"/>
      <c r="L102" s="689"/>
      <c r="M102" s="690"/>
      <c r="N102" s="2161"/>
      <c r="O102" s="2161"/>
      <c r="P102" s="2160"/>
      <c r="Q102" s="2153"/>
      <c r="R102" s="2140"/>
      <c r="S102" s="2140"/>
      <c r="T102" s="2140"/>
      <c r="U102" s="2140"/>
      <c r="V102" s="2140"/>
      <c r="W102" s="2140"/>
      <c r="X102" s="2140"/>
      <c r="Y102" s="2140"/>
      <c r="Z102" s="2140"/>
      <c r="AA102" s="2140"/>
      <c r="AB102" s="2140"/>
      <c r="AC102" s="2140"/>
    </row>
    <row r="103" spans="1:29" ht="15" thickTop="1">
      <c r="A103" s="2174"/>
      <c r="B103" s="2174"/>
      <c r="C103" s="2174"/>
      <c r="D103" s="2174"/>
      <c r="E103" s="2174"/>
      <c r="F103" s="2174"/>
      <c r="G103" s="2174"/>
      <c r="H103" s="2174"/>
      <c r="I103" s="2174"/>
      <c r="J103" s="2174"/>
      <c r="K103" s="2175"/>
      <c r="L103" s="2176"/>
      <c r="M103" s="2174"/>
      <c r="N103" s="2174"/>
      <c r="O103" s="2174"/>
      <c r="P103" s="2174"/>
      <c r="Q103" s="2174"/>
      <c r="R103" s="2174"/>
      <c r="S103" s="2174"/>
      <c r="T103" s="2174"/>
      <c r="U103" s="2174"/>
      <c r="V103" s="2174"/>
      <c r="W103" s="2174"/>
      <c r="X103" s="2174"/>
      <c r="Y103" s="2174"/>
      <c r="Z103" s="2174"/>
      <c r="AA103" s="2174"/>
      <c r="AB103" s="2174"/>
      <c r="AC103" s="2174"/>
    </row>
    <row r="104" spans="1:29">
      <c r="A104" s="2174"/>
      <c r="B104" s="2174"/>
      <c r="C104" s="2174"/>
      <c r="D104" s="2174"/>
      <c r="E104" s="2174"/>
      <c r="F104" s="2174"/>
      <c r="G104" s="2174"/>
      <c r="H104" s="2174"/>
      <c r="I104" s="2174"/>
      <c r="J104" s="2174"/>
      <c r="K104" s="2175"/>
      <c r="L104" s="2176"/>
      <c r="M104" s="2174"/>
      <c r="N104" s="2174"/>
      <c r="O104" s="2174"/>
      <c r="P104" s="2174"/>
      <c r="Q104" s="2174"/>
      <c r="R104" s="2174"/>
      <c r="S104" s="2174"/>
      <c r="T104" s="2174"/>
      <c r="U104" s="2174"/>
      <c r="V104" s="2174"/>
      <c r="W104" s="2174"/>
      <c r="X104" s="2174"/>
      <c r="Y104" s="2174"/>
      <c r="Z104" s="2174"/>
      <c r="AA104" s="2174"/>
      <c r="AB104" s="2174"/>
      <c r="AC104" s="2174"/>
    </row>
    <row r="105" spans="1:29">
      <c r="A105" s="2174"/>
      <c r="B105" s="2174"/>
      <c r="C105" s="2174"/>
      <c r="D105" s="2174"/>
      <c r="E105" s="2174"/>
      <c r="F105" s="2174"/>
      <c r="G105" s="2174"/>
      <c r="H105" s="2174"/>
      <c r="I105" s="2174"/>
      <c r="J105" s="2174"/>
      <c r="K105" s="2175"/>
      <c r="L105" s="2176"/>
      <c r="M105" s="2174"/>
      <c r="N105" s="2174"/>
      <c r="O105" s="2174"/>
      <c r="P105" s="2174"/>
      <c r="Q105" s="2174"/>
      <c r="R105" s="2174"/>
      <c r="S105" s="2174"/>
      <c r="T105" s="2174"/>
      <c r="U105" s="2174"/>
      <c r="V105" s="2174"/>
      <c r="W105" s="2174"/>
      <c r="X105" s="2174"/>
      <c r="Y105" s="2174"/>
      <c r="Z105" s="2174"/>
      <c r="AA105" s="2174"/>
      <c r="AB105" s="2174"/>
      <c r="AC105" s="2174"/>
    </row>
    <row r="106" spans="1:29">
      <c r="A106" s="2174"/>
      <c r="B106" s="2174"/>
      <c r="C106" s="2174"/>
      <c r="D106" s="2174"/>
      <c r="E106" s="2174"/>
      <c r="F106" s="2174"/>
      <c r="G106" s="2174"/>
      <c r="H106" s="2174"/>
      <c r="I106" s="2174"/>
      <c r="J106" s="2174"/>
      <c r="K106" s="2175"/>
      <c r="L106" s="2176"/>
      <c r="M106" s="2174"/>
      <c r="N106" s="2174"/>
      <c r="O106" s="2174"/>
      <c r="P106" s="2174"/>
      <c r="Q106" s="2174"/>
      <c r="R106" s="2174"/>
      <c r="S106" s="2174"/>
      <c r="T106" s="2174"/>
      <c r="U106" s="2174"/>
      <c r="V106" s="2174"/>
      <c r="W106" s="2174"/>
      <c r="X106" s="2174"/>
      <c r="Y106" s="2174"/>
      <c r="Z106" s="2174"/>
      <c r="AA106" s="2174"/>
      <c r="AB106" s="2174"/>
      <c r="AC106" s="2174"/>
    </row>
    <row r="107" spans="1:29">
      <c r="A107" s="2174"/>
      <c r="B107" s="2174"/>
      <c r="C107" s="2174"/>
      <c r="D107" s="2174"/>
      <c r="E107" s="2174"/>
      <c r="F107" s="2174"/>
      <c r="G107" s="2174"/>
      <c r="H107" s="2174"/>
      <c r="I107" s="2174"/>
      <c r="J107" s="2174"/>
      <c r="K107" s="2175"/>
      <c r="L107" s="2176"/>
      <c r="M107" s="2174"/>
      <c r="N107" s="2174"/>
      <c r="O107" s="2174"/>
      <c r="P107" s="2174"/>
      <c r="Q107" s="2174"/>
      <c r="R107" s="2174"/>
      <c r="S107" s="2174"/>
      <c r="T107" s="2174"/>
      <c r="U107" s="2174"/>
      <c r="V107" s="2174"/>
      <c r="W107" s="2174"/>
      <c r="X107" s="2174"/>
      <c r="Y107" s="2174"/>
      <c r="Z107" s="2174"/>
      <c r="AA107" s="2174"/>
      <c r="AB107" s="2174"/>
      <c r="AC107" s="2174"/>
    </row>
    <row r="108" spans="1:29">
      <c r="A108" s="2174"/>
      <c r="B108" s="2174"/>
      <c r="C108" s="2174"/>
      <c r="D108" s="2174"/>
      <c r="E108" s="2174"/>
      <c r="F108" s="2174"/>
      <c r="G108" s="2174"/>
      <c r="H108" s="2174"/>
      <c r="I108" s="2174"/>
      <c r="J108" s="2174"/>
      <c r="K108" s="2175"/>
      <c r="L108" s="2176"/>
      <c r="M108" s="2174"/>
      <c r="N108" s="2174"/>
      <c r="O108" s="2174"/>
      <c r="P108" s="2174"/>
      <c r="Q108" s="2174"/>
      <c r="R108" s="2174"/>
      <c r="S108" s="2174"/>
      <c r="T108" s="2174"/>
      <c r="U108" s="2174"/>
      <c r="V108" s="2174"/>
      <c r="W108" s="2174"/>
      <c r="X108" s="2174"/>
      <c r="Y108" s="2174"/>
      <c r="Z108" s="2174"/>
      <c r="AA108" s="2174"/>
      <c r="AB108" s="2174"/>
      <c r="AC108" s="2174"/>
    </row>
    <row r="109" spans="1:29">
      <c r="A109" s="2174"/>
      <c r="B109" s="2174"/>
      <c r="C109" s="2174"/>
      <c r="D109" s="2174"/>
      <c r="E109" s="2174"/>
      <c r="F109" s="2174"/>
      <c r="G109" s="2174"/>
      <c r="H109" s="2174"/>
      <c r="I109" s="2174"/>
      <c r="J109" s="2174"/>
      <c r="K109" s="2175"/>
      <c r="L109" s="2176"/>
      <c r="M109" s="2174"/>
      <c r="N109" s="2174"/>
      <c r="O109" s="2174"/>
      <c r="P109" s="2174"/>
      <c r="Q109" s="2174"/>
      <c r="R109" s="2174"/>
      <c r="S109" s="2174"/>
      <c r="T109" s="2174"/>
      <c r="U109" s="2174"/>
      <c r="V109" s="2174"/>
      <c r="W109" s="2174"/>
      <c r="X109" s="2174"/>
      <c r="Y109" s="2174"/>
      <c r="Z109" s="2174"/>
      <c r="AA109" s="2174"/>
      <c r="AB109" s="2174"/>
      <c r="AC109" s="2174"/>
    </row>
    <row r="110" spans="1:29">
      <c r="A110" s="2174"/>
      <c r="B110" s="2174"/>
      <c r="C110" s="2174"/>
      <c r="D110" s="2174"/>
      <c r="E110" s="2174"/>
      <c r="F110" s="2174"/>
      <c r="G110" s="2174"/>
      <c r="H110" s="2174"/>
      <c r="I110" s="2174"/>
      <c r="J110" s="2174"/>
      <c r="K110" s="2175"/>
      <c r="L110" s="2176"/>
      <c r="M110" s="2174"/>
      <c r="N110" s="2174"/>
      <c r="O110" s="2174"/>
      <c r="P110" s="2174"/>
      <c r="Q110" s="2174"/>
      <c r="R110" s="2174"/>
      <c r="S110" s="2174"/>
      <c r="T110" s="2174"/>
      <c r="U110" s="2174"/>
      <c r="V110" s="2174"/>
      <c r="W110" s="2174"/>
      <c r="X110" s="2174"/>
      <c r="Y110" s="2174"/>
      <c r="Z110" s="2174"/>
      <c r="AA110" s="2174"/>
      <c r="AB110" s="2174"/>
      <c r="AC110" s="2174"/>
    </row>
    <row r="111" spans="1:29">
      <c r="A111" s="2174"/>
      <c r="B111" s="2174"/>
      <c r="C111" s="2174"/>
      <c r="D111" s="2174"/>
      <c r="E111" s="2174"/>
      <c r="F111" s="2174"/>
      <c r="G111" s="2174"/>
      <c r="H111" s="2174"/>
      <c r="I111" s="2174"/>
      <c r="J111" s="2174"/>
      <c r="K111" s="2175"/>
      <c r="L111" s="2176"/>
      <c r="M111" s="2174"/>
      <c r="N111" s="2174"/>
      <c r="O111" s="2174"/>
      <c r="P111" s="2174"/>
      <c r="Q111" s="2174"/>
      <c r="R111" s="2174"/>
      <c r="S111" s="2174"/>
      <c r="T111" s="2174"/>
      <c r="U111" s="2174"/>
      <c r="V111" s="2174"/>
      <c r="W111" s="2174"/>
      <c r="X111" s="2174"/>
      <c r="Y111" s="2174"/>
      <c r="Z111" s="2174"/>
      <c r="AA111" s="2174"/>
      <c r="AB111" s="2174"/>
      <c r="AC111" s="2174"/>
    </row>
    <row r="112" spans="1:29">
      <c r="A112" s="2174"/>
      <c r="B112" s="2174"/>
      <c r="C112" s="2174"/>
      <c r="D112" s="2174"/>
      <c r="E112" s="2174"/>
      <c r="F112" s="2174"/>
      <c r="G112" s="2174"/>
      <c r="H112" s="2174"/>
      <c r="I112" s="2174"/>
      <c r="J112" s="2174"/>
      <c r="K112" s="2175"/>
      <c r="L112" s="2176"/>
      <c r="M112" s="2174"/>
      <c r="N112" s="2174"/>
      <c r="O112" s="2174"/>
      <c r="P112" s="2174"/>
      <c r="Q112" s="2174"/>
      <c r="R112" s="2174"/>
      <c r="S112" s="2174"/>
      <c r="T112" s="2174"/>
      <c r="U112" s="2174"/>
      <c r="V112" s="2174"/>
      <c r="W112" s="2174"/>
      <c r="X112" s="2174"/>
      <c r="Y112" s="2174"/>
      <c r="Z112" s="2174"/>
      <c r="AA112" s="2174"/>
      <c r="AB112" s="2174"/>
      <c r="AC112" s="2174"/>
    </row>
    <row r="113" spans="1:29">
      <c r="A113" s="2174"/>
      <c r="B113" s="2174"/>
      <c r="C113" s="2174"/>
      <c r="D113" s="2174"/>
      <c r="E113" s="2174"/>
      <c r="F113" s="2174"/>
      <c r="G113" s="2174"/>
      <c r="H113" s="2174"/>
      <c r="I113" s="2174"/>
      <c r="J113" s="2174"/>
      <c r="K113" s="2175"/>
      <c r="L113" s="2176"/>
      <c r="M113" s="2174"/>
      <c r="N113" s="2174"/>
      <c r="O113" s="2174"/>
      <c r="P113" s="2174"/>
      <c r="Q113" s="2174"/>
      <c r="R113" s="2174"/>
      <c r="S113" s="2174"/>
      <c r="T113" s="2174"/>
      <c r="U113" s="2174"/>
      <c r="V113" s="2174"/>
      <c r="W113" s="2174"/>
      <c r="X113" s="2174"/>
      <c r="Y113" s="2174"/>
      <c r="Z113" s="2174"/>
      <c r="AA113" s="2174"/>
      <c r="AB113" s="2174"/>
      <c r="AC113" s="2174"/>
    </row>
    <row r="114" spans="1:29">
      <c r="A114" s="2174"/>
      <c r="B114" s="2174"/>
      <c r="C114" s="2174"/>
      <c r="D114" s="2174"/>
      <c r="E114" s="2174"/>
      <c r="F114" s="2174"/>
      <c r="G114" s="2174"/>
      <c r="H114" s="2174"/>
      <c r="I114" s="2174"/>
      <c r="J114" s="2174"/>
      <c r="K114" s="2175"/>
      <c r="L114" s="2176"/>
      <c r="M114" s="2174"/>
      <c r="N114" s="2174"/>
      <c r="O114" s="2174"/>
      <c r="P114" s="2174"/>
      <c r="Q114" s="2174"/>
      <c r="R114" s="2174"/>
      <c r="S114" s="2174"/>
      <c r="T114" s="2174"/>
      <c r="U114" s="2174"/>
      <c r="V114" s="2174"/>
      <c r="W114" s="2174"/>
      <c r="X114" s="2174"/>
      <c r="Y114" s="2174"/>
      <c r="Z114" s="2174"/>
      <c r="AA114" s="2174"/>
      <c r="AB114" s="2174"/>
      <c r="AC114" s="2174"/>
    </row>
    <row r="115" spans="1:29">
      <c r="A115" s="2174"/>
      <c r="B115" s="2174"/>
      <c r="C115" s="2174"/>
      <c r="D115" s="2174"/>
      <c r="E115" s="2174"/>
      <c r="F115" s="2174"/>
      <c r="G115" s="2174"/>
      <c r="H115" s="2174"/>
      <c r="I115" s="2174"/>
      <c r="J115" s="2174"/>
      <c r="K115" s="2175"/>
      <c r="L115" s="2176"/>
      <c r="M115" s="2174"/>
      <c r="N115" s="2174"/>
      <c r="O115" s="2174"/>
      <c r="P115" s="2174"/>
      <c r="Q115" s="2174"/>
      <c r="R115" s="2174"/>
      <c r="S115" s="2174"/>
      <c r="T115" s="2174"/>
      <c r="U115" s="2174"/>
      <c r="V115" s="2174"/>
      <c r="W115" s="2174"/>
      <c r="X115" s="2174"/>
      <c r="Y115" s="2174"/>
      <c r="Z115" s="2174"/>
      <c r="AA115" s="2174"/>
      <c r="AB115" s="2174"/>
      <c r="AC115" s="2174"/>
    </row>
    <row r="116" spans="1:29">
      <c r="A116" s="2174"/>
      <c r="B116" s="2174"/>
      <c r="C116" s="2174"/>
      <c r="D116" s="2174"/>
      <c r="E116" s="2174"/>
      <c r="F116" s="2174"/>
      <c r="G116" s="2174"/>
      <c r="H116" s="2174"/>
      <c r="I116" s="2174"/>
      <c r="J116" s="2174"/>
      <c r="K116" s="2175"/>
      <c r="L116" s="2176"/>
      <c r="M116" s="2174"/>
      <c r="N116" s="2174"/>
      <c r="O116" s="2174"/>
      <c r="P116" s="2174"/>
      <c r="Q116" s="2174"/>
      <c r="R116" s="2174"/>
      <c r="S116" s="2174"/>
      <c r="T116" s="2174"/>
      <c r="U116" s="2174"/>
      <c r="V116" s="2174"/>
      <c r="W116" s="2174"/>
      <c r="X116" s="2174"/>
      <c r="Y116" s="2174"/>
      <c r="Z116" s="2174"/>
      <c r="AA116" s="2174"/>
      <c r="AB116" s="2174"/>
      <c r="AC116" s="2174"/>
    </row>
    <row r="117" spans="1:29">
      <c r="A117" s="2174"/>
      <c r="B117" s="2174"/>
      <c r="C117" s="2174"/>
      <c r="D117" s="2174"/>
      <c r="E117" s="2174"/>
      <c r="F117" s="2174"/>
      <c r="G117" s="2174"/>
      <c r="H117" s="2174"/>
      <c r="I117" s="2174"/>
      <c r="J117" s="2174"/>
      <c r="K117" s="2175"/>
      <c r="L117" s="2176"/>
      <c r="M117" s="2174"/>
      <c r="N117" s="2174"/>
      <c r="O117" s="2174"/>
      <c r="P117" s="2174"/>
      <c r="Q117" s="2174"/>
      <c r="R117" s="2174"/>
      <c r="S117" s="2174"/>
      <c r="T117" s="2174"/>
      <c r="U117" s="2174"/>
      <c r="V117" s="2174"/>
      <c r="W117" s="2174"/>
      <c r="X117" s="2174"/>
      <c r="Y117" s="2174"/>
      <c r="Z117" s="2174"/>
      <c r="AA117" s="2174"/>
      <c r="AB117" s="2174"/>
      <c r="AC117" s="2174"/>
    </row>
    <row r="118" spans="1:29">
      <c r="A118" s="2174"/>
      <c r="B118" s="2174"/>
      <c r="C118" s="2174"/>
      <c r="D118" s="2174"/>
      <c r="E118" s="2174"/>
      <c r="F118" s="2174"/>
      <c r="G118" s="2174"/>
      <c r="H118" s="2174"/>
      <c r="I118" s="2174"/>
      <c r="J118" s="2174"/>
      <c r="K118" s="2175"/>
      <c r="L118" s="2176"/>
      <c r="M118" s="2174"/>
      <c r="N118" s="2174"/>
      <c r="O118" s="2174"/>
      <c r="P118" s="2174"/>
      <c r="Q118" s="2174"/>
      <c r="R118" s="2174"/>
      <c r="S118" s="2174"/>
      <c r="T118" s="2174"/>
      <c r="U118" s="2174"/>
      <c r="V118" s="2174"/>
      <c r="W118" s="2174"/>
      <c r="X118" s="2174"/>
      <c r="Y118" s="2174"/>
      <c r="Z118" s="2174"/>
      <c r="AA118" s="2174"/>
      <c r="AB118" s="2174"/>
      <c r="AC118" s="2174"/>
    </row>
    <row r="119" spans="1:29">
      <c r="A119" s="2174"/>
      <c r="B119" s="2174"/>
      <c r="C119" s="2174"/>
      <c r="D119" s="2174"/>
      <c r="E119" s="2174"/>
      <c r="F119" s="2174"/>
      <c r="G119" s="2174"/>
      <c r="H119" s="2174"/>
      <c r="I119" s="2174"/>
      <c r="J119" s="2174"/>
      <c r="K119" s="2175"/>
      <c r="L119" s="2176"/>
      <c r="M119" s="2174"/>
      <c r="N119" s="2174"/>
      <c r="O119" s="2174"/>
      <c r="P119" s="2174"/>
      <c r="Q119" s="2174"/>
      <c r="R119" s="2174"/>
      <c r="S119" s="2174"/>
      <c r="T119" s="2174"/>
      <c r="U119" s="2174"/>
      <c r="V119" s="2174"/>
      <c r="W119" s="2174"/>
      <c r="X119" s="2174"/>
      <c r="Y119" s="2174"/>
      <c r="Z119" s="2174"/>
      <c r="AA119" s="2174"/>
      <c r="AB119" s="2174"/>
      <c r="AC119" s="2174"/>
    </row>
    <row r="120" spans="1:29">
      <c r="A120" s="2174"/>
      <c r="B120" s="2174"/>
      <c r="C120" s="2174"/>
      <c r="D120" s="2174"/>
      <c r="E120" s="2174"/>
      <c r="F120" s="2174"/>
      <c r="G120" s="2174"/>
      <c r="H120" s="2174"/>
      <c r="I120" s="2174"/>
      <c r="J120" s="2174"/>
      <c r="K120" s="2175"/>
      <c r="L120" s="2176"/>
      <c r="M120" s="2174"/>
      <c r="N120" s="2174"/>
      <c r="O120" s="2174"/>
      <c r="P120" s="2174"/>
      <c r="Q120" s="2174"/>
      <c r="R120" s="2174"/>
      <c r="S120" s="2174"/>
      <c r="T120" s="2174"/>
      <c r="U120" s="2174"/>
      <c r="V120" s="2174"/>
      <c r="W120" s="2174"/>
      <c r="X120" s="2174"/>
      <c r="Y120" s="2174"/>
      <c r="Z120" s="2174"/>
      <c r="AA120" s="2174"/>
      <c r="AB120" s="2174"/>
      <c r="AC120" s="2174"/>
    </row>
    <row r="121" spans="1:29">
      <c r="A121" s="2174"/>
      <c r="B121" s="2174"/>
      <c r="C121" s="2174"/>
      <c r="D121" s="2174"/>
      <c r="E121" s="2174"/>
      <c r="F121" s="2174"/>
      <c r="G121" s="2174"/>
      <c r="H121" s="2174"/>
      <c r="I121" s="2174"/>
      <c r="J121" s="2174"/>
      <c r="K121" s="2175"/>
      <c r="L121" s="2176"/>
      <c r="M121" s="2174"/>
      <c r="N121" s="2174"/>
      <c r="O121" s="2174"/>
      <c r="P121" s="2174"/>
      <c r="Q121" s="2174"/>
      <c r="R121" s="2174"/>
      <c r="S121" s="2174"/>
      <c r="T121" s="2174"/>
      <c r="U121" s="2174"/>
      <c r="V121" s="2174"/>
      <c r="W121" s="2174"/>
      <c r="X121" s="2174"/>
      <c r="Y121" s="2174"/>
      <c r="Z121" s="2174"/>
      <c r="AA121" s="2174"/>
      <c r="AB121" s="2174"/>
      <c r="AC121" s="2174"/>
    </row>
    <row r="122" spans="1:29">
      <c r="A122" s="2174"/>
      <c r="B122" s="2174"/>
      <c r="C122" s="2174"/>
      <c r="D122" s="2174"/>
      <c r="E122" s="2174"/>
      <c r="F122" s="2174"/>
      <c r="G122" s="2174"/>
      <c r="H122" s="2174"/>
      <c r="I122" s="2174"/>
      <c r="J122" s="2174"/>
      <c r="K122" s="2175"/>
      <c r="L122" s="2176"/>
      <c r="M122" s="2174"/>
      <c r="N122" s="2174"/>
      <c r="O122" s="2174"/>
      <c r="P122" s="2174"/>
      <c r="Q122" s="2174"/>
      <c r="R122" s="2174"/>
      <c r="S122" s="2174"/>
      <c r="T122" s="2174"/>
      <c r="U122" s="2174"/>
      <c r="V122" s="2174"/>
      <c r="W122" s="2174"/>
      <c r="X122" s="2174"/>
      <c r="Y122" s="2174"/>
      <c r="Z122" s="2174"/>
      <c r="AA122" s="2174"/>
      <c r="AB122" s="2174"/>
      <c r="AC122" s="2174"/>
    </row>
    <row r="123" spans="1:29">
      <c r="A123" s="2174"/>
      <c r="B123" s="2174"/>
      <c r="C123" s="2174"/>
      <c r="D123" s="2174"/>
      <c r="E123" s="2174"/>
      <c r="F123" s="2174"/>
      <c r="G123" s="2174"/>
      <c r="H123" s="2174"/>
      <c r="I123" s="2174"/>
      <c r="J123" s="2174"/>
      <c r="K123" s="2175"/>
      <c r="L123" s="2176"/>
      <c r="M123" s="2174"/>
      <c r="N123" s="2174"/>
      <c r="O123" s="2174"/>
      <c r="P123" s="2174"/>
      <c r="Q123" s="2174"/>
      <c r="R123" s="2174"/>
      <c r="S123" s="2174"/>
      <c r="T123" s="2174"/>
      <c r="U123" s="2174"/>
      <c r="V123" s="2174"/>
      <c r="W123" s="2174"/>
      <c r="X123" s="2174"/>
      <c r="Y123" s="2174"/>
      <c r="Z123" s="2174"/>
      <c r="AA123" s="2174"/>
      <c r="AB123" s="2174"/>
      <c r="AC123" s="2174"/>
    </row>
    <row r="124" spans="1:29">
      <c r="A124" s="2174"/>
      <c r="B124" s="2174"/>
      <c r="C124" s="2174"/>
      <c r="D124" s="2174"/>
      <c r="E124" s="2174"/>
      <c r="F124" s="2174"/>
      <c r="G124" s="2174"/>
      <c r="H124" s="2174"/>
      <c r="I124" s="2174"/>
      <c r="J124" s="2174"/>
      <c r="K124" s="2175"/>
      <c r="L124" s="2176"/>
      <c r="M124" s="2174"/>
      <c r="N124" s="2174"/>
      <c r="O124" s="2174"/>
      <c r="P124" s="2174"/>
      <c r="Q124" s="2174"/>
      <c r="R124" s="2174"/>
      <c r="S124" s="2174"/>
      <c r="T124" s="2174"/>
      <c r="U124" s="2174"/>
      <c r="V124" s="2174"/>
      <c r="W124" s="2174"/>
      <c r="X124" s="2174"/>
      <c r="Y124" s="2174"/>
      <c r="Z124" s="2174"/>
      <c r="AA124" s="2174"/>
      <c r="AB124" s="2174"/>
      <c r="AC124" s="2174"/>
    </row>
    <row r="125" spans="1:29">
      <c r="A125" s="2174"/>
      <c r="B125" s="2174"/>
      <c r="C125" s="2174"/>
      <c r="D125" s="2174"/>
      <c r="E125" s="2174"/>
      <c r="F125" s="2174"/>
      <c r="G125" s="2174"/>
      <c r="H125" s="2174"/>
      <c r="I125" s="2174"/>
      <c r="J125" s="2174"/>
      <c r="K125" s="2175"/>
      <c r="L125" s="2176"/>
      <c r="M125" s="2174"/>
      <c r="N125" s="2174"/>
      <c r="O125" s="2174"/>
      <c r="P125" s="2174"/>
      <c r="Q125" s="2174"/>
      <c r="R125" s="2174"/>
      <c r="S125" s="2174"/>
      <c r="T125" s="2174"/>
      <c r="U125" s="2174"/>
      <c r="V125" s="2174"/>
      <c r="W125" s="2174"/>
      <c r="X125" s="2174"/>
      <c r="Y125" s="2174"/>
      <c r="Z125" s="2174"/>
      <c r="AA125" s="2174"/>
      <c r="AB125" s="2174"/>
      <c r="AC125" s="2174"/>
    </row>
    <row r="126" spans="1:29">
      <c r="A126" s="2174"/>
      <c r="B126" s="2174"/>
      <c r="C126" s="2174"/>
      <c r="D126" s="2174"/>
      <c r="E126" s="2174"/>
      <c r="F126" s="2174"/>
      <c r="G126" s="2174"/>
      <c r="H126" s="2174"/>
      <c r="I126" s="2174"/>
      <c r="J126" s="2174"/>
      <c r="K126" s="2175"/>
      <c r="L126" s="2176"/>
      <c r="M126" s="2174"/>
      <c r="N126" s="2174"/>
      <c r="O126" s="2174"/>
      <c r="P126" s="2174"/>
      <c r="Q126" s="2174"/>
      <c r="R126" s="2174"/>
      <c r="S126" s="2174"/>
      <c r="T126" s="2174"/>
      <c r="U126" s="2174"/>
      <c r="V126" s="2174"/>
      <c r="W126" s="2174"/>
      <c r="X126" s="2174"/>
      <c r="Y126" s="2174"/>
      <c r="Z126" s="2174"/>
      <c r="AA126" s="2174"/>
      <c r="AB126" s="2174"/>
      <c r="AC126" s="2174"/>
    </row>
    <row r="127" spans="1:29">
      <c r="A127" s="2174"/>
      <c r="B127" s="2174"/>
      <c r="C127" s="2174"/>
      <c r="D127" s="2174"/>
      <c r="E127" s="2174"/>
      <c r="F127" s="2174"/>
      <c r="G127" s="2174"/>
      <c r="H127" s="2174"/>
      <c r="I127" s="2174"/>
      <c r="J127" s="2174"/>
      <c r="K127" s="2175"/>
      <c r="L127" s="2176"/>
      <c r="M127" s="2174"/>
      <c r="N127" s="2174"/>
      <c r="O127" s="2174"/>
      <c r="P127" s="2174"/>
      <c r="Q127" s="2174"/>
      <c r="R127" s="2174"/>
      <c r="S127" s="2174"/>
      <c r="T127" s="2174"/>
      <c r="U127" s="2174"/>
      <c r="V127" s="2174"/>
      <c r="W127" s="2174"/>
      <c r="X127" s="2174"/>
      <c r="Y127" s="2174"/>
      <c r="Z127" s="2174"/>
      <c r="AA127" s="2174"/>
      <c r="AB127" s="2174"/>
      <c r="AC127" s="2174"/>
    </row>
    <row r="128" spans="1:29">
      <c r="A128" s="2174"/>
      <c r="B128" s="2174"/>
      <c r="C128" s="2174"/>
      <c r="D128" s="2174"/>
      <c r="E128" s="2174"/>
      <c r="F128" s="2174"/>
      <c r="G128" s="2174"/>
      <c r="H128" s="2174"/>
      <c r="I128" s="2174"/>
      <c r="J128" s="2174"/>
      <c r="K128" s="2175"/>
      <c r="L128" s="2176"/>
      <c r="M128" s="2174"/>
      <c r="N128" s="2174"/>
      <c r="O128" s="2174"/>
      <c r="P128" s="2174"/>
      <c r="Q128" s="2174"/>
      <c r="R128" s="2174"/>
      <c r="S128" s="2174"/>
      <c r="T128" s="2174"/>
      <c r="U128" s="2174"/>
      <c r="V128" s="2174"/>
      <c r="W128" s="2174"/>
      <c r="X128" s="2174"/>
      <c r="Y128" s="2174"/>
      <c r="Z128" s="2174"/>
      <c r="AA128" s="2174"/>
      <c r="AB128" s="2174"/>
      <c r="AC128" s="2174"/>
    </row>
    <row r="129" spans="1:29">
      <c r="A129" s="2174"/>
      <c r="B129" s="2174"/>
      <c r="C129" s="2174"/>
      <c r="D129" s="2174"/>
      <c r="E129" s="2174"/>
      <c r="F129" s="2174"/>
      <c r="G129" s="2174"/>
      <c r="H129" s="2174"/>
      <c r="I129" s="2174"/>
      <c r="J129" s="2174"/>
      <c r="K129" s="2175"/>
      <c r="L129" s="2176"/>
      <c r="M129" s="2174"/>
      <c r="N129" s="2174"/>
      <c r="O129" s="2174"/>
      <c r="P129" s="2174"/>
      <c r="Q129" s="2174"/>
      <c r="R129" s="2174"/>
      <c r="S129" s="2174"/>
      <c r="T129" s="2174"/>
      <c r="U129" s="2174"/>
      <c r="V129" s="2174"/>
      <c r="W129" s="2174"/>
      <c r="X129" s="2174"/>
      <c r="Y129" s="2174"/>
      <c r="Z129" s="2174"/>
      <c r="AA129" s="2174"/>
      <c r="AB129" s="2174"/>
      <c r="AC129" s="2174"/>
    </row>
    <row r="130" spans="1:29">
      <c r="A130" s="2174"/>
      <c r="B130" s="2174"/>
      <c r="C130" s="2174"/>
      <c r="D130" s="2174"/>
      <c r="E130" s="2174"/>
      <c r="F130" s="2174"/>
      <c r="G130" s="2174"/>
      <c r="H130" s="2174"/>
      <c r="I130" s="2174"/>
      <c r="J130" s="2174"/>
      <c r="K130" s="2175"/>
      <c r="L130" s="2176"/>
      <c r="M130" s="2174"/>
      <c r="N130" s="2174"/>
      <c r="O130" s="2174"/>
      <c r="P130" s="2174"/>
      <c r="Q130" s="2174"/>
      <c r="R130" s="2174"/>
      <c r="S130" s="2174"/>
      <c r="T130" s="2174"/>
      <c r="U130" s="2174"/>
      <c r="V130" s="2174"/>
      <c r="W130" s="2174"/>
      <c r="X130" s="2174"/>
      <c r="Y130" s="2174"/>
      <c r="Z130" s="2174"/>
      <c r="AA130" s="2174"/>
      <c r="AB130" s="2174"/>
      <c r="AC130" s="2174"/>
    </row>
    <row r="131" spans="1:29">
      <c r="A131" s="2174"/>
      <c r="B131" s="2174"/>
      <c r="C131" s="2174"/>
      <c r="D131" s="2174"/>
      <c r="E131" s="2174"/>
      <c r="F131" s="2174"/>
      <c r="G131" s="2174"/>
      <c r="H131" s="2174"/>
      <c r="I131" s="2174"/>
      <c r="J131" s="2174"/>
      <c r="K131" s="2175"/>
      <c r="L131" s="2176"/>
      <c r="M131" s="2174"/>
      <c r="N131" s="2174"/>
      <c r="O131" s="2174"/>
      <c r="P131" s="2174"/>
      <c r="Q131" s="2174"/>
      <c r="R131" s="2174"/>
      <c r="S131" s="2174"/>
      <c r="T131" s="2174"/>
      <c r="U131" s="2174"/>
      <c r="V131" s="2174"/>
      <c r="W131" s="2174"/>
      <c r="X131" s="2174"/>
      <c r="Y131" s="2174"/>
      <c r="Z131" s="2174"/>
      <c r="AA131" s="2174"/>
      <c r="AB131" s="2174"/>
      <c r="AC131" s="2174"/>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0" t="s">
        <v>712</v>
      </c>
      <c r="B1" s="918"/>
      <c r="C1" s="502" t="s">
        <v>785</v>
      </c>
      <c r="D1" s="845"/>
      <c r="E1" s="504"/>
      <c r="F1" s="2828"/>
      <c r="G1" s="1596" t="s">
        <v>786</v>
      </c>
      <c r="H1" s="504"/>
      <c r="I1" s="504"/>
      <c r="J1" s="504"/>
      <c r="K1" s="505"/>
      <c r="L1" s="1557"/>
      <c r="M1" s="1558"/>
      <c r="N1" s="1558"/>
      <c r="O1" s="1558"/>
      <c r="P1" s="1559"/>
      <c r="Q1" s="1559"/>
      <c r="R1" s="1559"/>
      <c r="S1" s="1559"/>
      <c r="T1" s="1559"/>
      <c r="U1" s="1559"/>
      <c r="V1" s="1559"/>
      <c r="W1" s="1559"/>
      <c r="X1" s="1559"/>
      <c r="Y1" s="1559"/>
      <c r="Z1" s="1559"/>
      <c r="AA1" s="1559"/>
      <c r="AB1" s="1559"/>
      <c r="AC1" s="1560"/>
    </row>
    <row r="2" spans="1:29" s="1331" customFormat="1" ht="28.5" customHeight="1">
      <c r="A2" s="421" t="s">
        <v>787</v>
      </c>
      <c r="B2" s="846" t="e">
        <f>ROUND(B3*D3/10000,0)</f>
        <v>#DIV/0!</v>
      </c>
      <c r="C2" s="2122"/>
      <c r="D2" s="2122"/>
      <c r="E2" s="2123"/>
      <c r="F2" s="2124"/>
      <c r="G2" s="2123"/>
      <c r="H2" s="2123"/>
      <c r="I2" s="2123"/>
      <c r="J2" s="2123"/>
      <c r="K2" s="2125"/>
      <c r="L2" s="2126"/>
      <c r="M2" s="2127"/>
      <c r="N2" s="2127"/>
      <c r="O2" s="2127"/>
      <c r="P2" s="1559"/>
      <c r="Q2" s="1559"/>
      <c r="R2" s="1559"/>
      <c r="S2" s="1559"/>
      <c r="T2" s="1559"/>
      <c r="U2" s="1559"/>
      <c r="V2" s="1559"/>
      <c r="W2" s="1559"/>
      <c r="X2" s="1559"/>
      <c r="Y2" s="1559"/>
      <c r="Z2" s="1559"/>
      <c r="AA2" s="1559"/>
      <c r="AB2" s="1559"/>
      <c r="AC2" s="1560"/>
    </row>
    <row r="3" spans="1:29" s="1331" customFormat="1" ht="28.5" customHeight="1" thickBot="1">
      <c r="A3" s="507" t="s">
        <v>788</v>
      </c>
      <c r="B3" s="508" t="e">
        <f>C37</f>
        <v>#DIV/0!</v>
      </c>
      <c r="C3" s="848" t="s">
        <v>789</v>
      </c>
      <c r="D3" s="847">
        <f>SUMIF('数据-汇总表'!$C19:$C33,D1,'数据-汇总表'!$E19:$E33)</f>
        <v>0</v>
      </c>
      <c r="E3" s="2123"/>
      <c r="F3" s="2124"/>
      <c r="G3" s="2123"/>
      <c r="H3" s="2123"/>
      <c r="I3" s="2123"/>
      <c r="J3" s="2123"/>
      <c r="K3" s="2125"/>
      <c r="L3" s="2126"/>
      <c r="M3" s="2127"/>
      <c r="N3" s="2127"/>
      <c r="O3" s="2127"/>
      <c r="P3" s="1559"/>
      <c r="Q3" s="1559"/>
      <c r="R3" s="1559"/>
      <c r="S3" s="1559"/>
      <c r="T3" s="1559"/>
      <c r="U3" s="1559"/>
      <c r="V3" s="1559"/>
      <c r="W3" s="1559"/>
      <c r="X3" s="1559"/>
      <c r="Y3" s="1559"/>
      <c r="Z3" s="1559"/>
      <c r="AA3" s="1559"/>
      <c r="AB3" s="1561"/>
      <c r="AC3" s="426"/>
    </row>
    <row r="4" spans="1:29" ht="15">
      <c r="A4" s="510" t="s">
        <v>790</v>
      </c>
      <c r="B4" s="511"/>
      <c r="C4" s="3469" t="s">
        <v>791</v>
      </c>
      <c r="D4" s="3470"/>
      <c r="E4" s="3493" t="s">
        <v>792</v>
      </c>
      <c r="F4" s="3494"/>
      <c r="G4" s="3469" t="s">
        <v>793</v>
      </c>
      <c r="H4" s="3470"/>
      <c r="I4" s="3469" t="s">
        <v>794</v>
      </c>
      <c r="J4" s="3470"/>
      <c r="K4" s="512" t="s">
        <v>795</v>
      </c>
      <c r="L4" s="2128"/>
      <c r="M4" s="2129"/>
      <c r="N4" s="2129"/>
      <c r="O4" s="2129"/>
      <c r="P4" s="3471" t="s">
        <v>796</v>
      </c>
      <c r="Q4" s="3472"/>
      <c r="R4" s="3457" t="s">
        <v>792</v>
      </c>
      <c r="S4" s="3458"/>
      <c r="T4" s="3457" t="s">
        <v>793</v>
      </c>
      <c r="U4" s="3458"/>
      <c r="V4" s="3477" t="s">
        <v>794</v>
      </c>
      <c r="W4" s="3477"/>
      <c r="X4" s="1562"/>
      <c r="Y4" s="3457" t="s">
        <v>796</v>
      </c>
      <c r="Z4" s="3458"/>
      <c r="AA4" s="3452" t="s">
        <v>792</v>
      </c>
      <c r="AB4" s="3453" t="s">
        <v>793</v>
      </c>
      <c r="AC4" s="3452" t="s">
        <v>794</v>
      </c>
    </row>
    <row r="5" spans="1:29" ht="15">
      <c r="A5" s="513"/>
      <c r="B5" s="514"/>
      <c r="C5" s="3480" t="s">
        <v>2923</v>
      </c>
      <c r="D5" s="3481"/>
      <c r="E5" s="3495" t="s">
        <v>2924</v>
      </c>
      <c r="F5" s="3496"/>
      <c r="G5" s="3480" t="s">
        <v>2925</v>
      </c>
      <c r="H5" s="3481"/>
      <c r="I5" s="3480" t="s">
        <v>2926</v>
      </c>
      <c r="J5" s="3481"/>
      <c r="K5" s="512"/>
      <c r="L5" s="2128"/>
      <c r="M5" s="2129"/>
      <c r="N5" s="2129"/>
      <c r="O5" s="2129"/>
      <c r="P5" s="3473"/>
      <c r="Q5" s="3474"/>
      <c r="R5" s="3459"/>
      <c r="S5" s="3460"/>
      <c r="T5" s="3459"/>
      <c r="U5" s="3460"/>
      <c r="V5" s="3477"/>
      <c r="W5" s="3477"/>
      <c r="X5" s="1562"/>
      <c r="Y5" s="3459"/>
      <c r="Z5" s="3460"/>
      <c r="AA5" s="3453"/>
      <c r="AB5" s="3453"/>
      <c r="AC5" s="3453"/>
    </row>
    <row r="6" spans="1:29" ht="15.75" thickBot="1">
      <c r="A6" s="515"/>
      <c r="B6" s="516"/>
      <c r="C6" s="3478" t="s">
        <v>2927</v>
      </c>
      <c r="D6" s="3479"/>
      <c r="E6" s="3497" t="s">
        <v>2927</v>
      </c>
      <c r="F6" s="3498"/>
      <c r="G6" s="3478" t="s">
        <v>2927</v>
      </c>
      <c r="H6" s="3479"/>
      <c r="I6" s="3478" t="s">
        <v>2927</v>
      </c>
      <c r="J6" s="3479"/>
      <c r="K6" s="512" t="s">
        <v>522</v>
      </c>
      <c r="L6" s="2128"/>
      <c r="M6" s="2129"/>
      <c r="N6" s="2129"/>
      <c r="O6" s="2129"/>
      <c r="P6" s="3475"/>
      <c r="Q6" s="3476"/>
      <c r="R6" s="3459"/>
      <c r="S6" s="3460"/>
      <c r="T6" s="3461"/>
      <c r="U6" s="3462"/>
      <c r="V6" s="3477"/>
      <c r="W6" s="3477"/>
      <c r="X6" s="1562"/>
      <c r="Y6" s="3461"/>
      <c r="Z6" s="3462"/>
      <c r="AA6" s="3454"/>
      <c r="AB6" s="3454"/>
      <c r="AC6" s="3454"/>
    </row>
    <row r="7" spans="1:29" s="1215" customFormat="1" ht="15.75" thickBot="1">
      <c r="A7" s="2933"/>
      <c r="B7" s="2940" t="s">
        <v>523</v>
      </c>
      <c r="C7" s="517">
        <f>'数据-取费表'!B2</f>
        <v>43035</v>
      </c>
      <c r="D7" s="518">
        <v>100</v>
      </c>
      <c r="E7" s="519"/>
      <c r="F7" s="520">
        <f>SUMIF(46:46,YEAR(E7)&amp;"-"&amp;MONTH(E7),47:47)</f>
        <v>0</v>
      </c>
      <c r="G7" s="521"/>
      <c r="H7" s="518">
        <f>SUMIF(46:46,YEAR(G7)&amp;"-"&amp;MONTH(G7),47:47)</f>
        <v>0</v>
      </c>
      <c r="I7" s="521"/>
      <c r="J7" s="518">
        <f>SUMIF(46:46,YEAR(I7)&amp;"-"&amp;MONTH(I7),47:47)</f>
        <v>0</v>
      </c>
      <c r="K7" s="522"/>
      <c r="L7" s="2130"/>
      <c r="M7" s="2131"/>
      <c r="N7" s="2131"/>
      <c r="O7" s="2131"/>
      <c r="P7" s="3455" t="s">
        <v>524</v>
      </c>
      <c r="Q7" s="3464"/>
      <c r="R7" s="1563" t="s">
        <v>8</v>
      </c>
      <c r="S7" s="1564">
        <f t="shared" ref="S7:S14" si="0">F7</f>
        <v>0</v>
      </c>
      <c r="T7" s="1563" t="s">
        <v>8</v>
      </c>
      <c r="U7" s="1564">
        <f t="shared" ref="U7:U14" si="1">H7</f>
        <v>0</v>
      </c>
      <c r="V7" s="1563" t="s">
        <v>8</v>
      </c>
      <c r="W7" s="1564">
        <f t="shared" ref="W7:W14" si="2">J7</f>
        <v>0</v>
      </c>
      <c r="X7" s="1565"/>
      <c r="Y7" s="3455" t="s">
        <v>524</v>
      </c>
      <c r="Z7" s="3456"/>
      <c r="AA7" s="1566" t="e">
        <f>D7/F7</f>
        <v>#DIV/0!</v>
      </c>
      <c r="AB7" s="1566" t="e">
        <f>D7/H7</f>
        <v>#DIV/0!</v>
      </c>
      <c r="AC7" s="1566" t="e">
        <f>D7/J7</f>
        <v>#DIV/0!</v>
      </c>
    </row>
    <row r="8" spans="1:29" s="1215" customFormat="1" ht="15.75" thickBot="1">
      <c r="A8" s="2934"/>
      <c r="B8" s="2941" t="s">
        <v>525</v>
      </c>
      <c r="C8" s="523" t="s">
        <v>570</v>
      </c>
      <c r="D8" s="518">
        <v>100</v>
      </c>
      <c r="E8" s="523"/>
      <c r="F8" s="520">
        <f>SUMIF(49:49,E8,50:50)-SUMIF(49:49,C8,50:50)+100</f>
        <v>0</v>
      </c>
      <c r="G8" s="523"/>
      <c r="H8" s="518">
        <f>SUMIF(49:49,G8,50:50)-SUMIF(49:49,C8,50:50)+100</f>
        <v>0</v>
      </c>
      <c r="I8" s="523"/>
      <c r="J8" s="518">
        <f>SUMIF(49:49,I8,50:50)-SUMIF(49:49,C8,50:50)+100</f>
        <v>0</v>
      </c>
      <c r="K8" s="522"/>
      <c r="L8" s="2130"/>
      <c r="M8" s="2131"/>
      <c r="N8" s="2131"/>
      <c r="O8" s="2131"/>
      <c r="P8" s="3455" t="s">
        <v>527</v>
      </c>
      <c r="Q8" s="3456"/>
      <c r="R8" s="1563" t="s">
        <v>8</v>
      </c>
      <c r="S8" s="1564">
        <f t="shared" si="0"/>
        <v>0</v>
      </c>
      <c r="T8" s="1563" t="s">
        <v>8</v>
      </c>
      <c r="U8" s="1564">
        <f t="shared" si="1"/>
        <v>0</v>
      </c>
      <c r="V8" s="1563" t="s">
        <v>8</v>
      </c>
      <c r="W8" s="1564">
        <f t="shared" si="2"/>
        <v>0</v>
      </c>
      <c r="X8" s="1565"/>
      <c r="Y8" s="3455" t="s">
        <v>527</v>
      </c>
      <c r="Z8" s="3456"/>
      <c r="AA8" s="1566" t="e">
        <f t="shared" ref="AA8:AA34" si="3">D8/F8</f>
        <v>#DIV/0!</v>
      </c>
      <c r="AB8" s="1566" t="e">
        <f t="shared" ref="AB8:AB34" si="4">D8/H8</f>
        <v>#DIV/0!</v>
      </c>
      <c r="AC8" s="1566" t="e">
        <f t="shared" ref="AC8:AC34" si="5">D8/J8</f>
        <v>#DIV/0!</v>
      </c>
    </row>
    <row r="9" spans="1:29" s="1215" customFormat="1" ht="15">
      <c r="A9" s="2935"/>
      <c r="B9" s="2942" t="s">
        <v>2755</v>
      </c>
      <c r="C9" s="853"/>
      <c r="D9" s="249">
        <v>100</v>
      </c>
      <c r="E9" s="856"/>
      <c r="F9" s="249">
        <f>SUMIF(51:51,E9,52:52)-SUMIF(51:51,C9,52:52)+100</f>
        <v>100</v>
      </c>
      <c r="G9" s="856"/>
      <c r="H9" s="249">
        <f>SUMIF(51:51,G9,52:52)-SUMIF(51:51,C9,52:52)+100</f>
        <v>100</v>
      </c>
      <c r="I9" s="856"/>
      <c r="J9" s="249">
        <f>SUMIF(51:51,I9,52:52)-SUMIF(51:51,C9,52:52)+100</f>
        <v>100</v>
      </c>
      <c r="K9" s="522"/>
      <c r="L9" s="2130"/>
      <c r="M9" s="2131"/>
      <c r="N9" s="2131"/>
      <c r="O9" s="2132"/>
      <c r="P9" s="3463" t="s">
        <v>529</v>
      </c>
      <c r="Q9" s="1146" t="str">
        <f t="shared" ref="Q9:Q14" si="6">B9</f>
        <v>用途</v>
      </c>
      <c r="R9" s="1563" t="s">
        <v>8</v>
      </c>
      <c r="S9" s="1564">
        <f t="shared" si="0"/>
        <v>100</v>
      </c>
      <c r="T9" s="1563" t="s">
        <v>8</v>
      </c>
      <c r="U9" s="1564">
        <f t="shared" si="1"/>
        <v>100</v>
      </c>
      <c r="V9" s="1563" t="s">
        <v>8</v>
      </c>
      <c r="W9" s="1564">
        <f t="shared" si="2"/>
        <v>100</v>
      </c>
      <c r="X9" s="1565"/>
      <c r="Y9" s="3420" t="s">
        <v>530</v>
      </c>
      <c r="Z9" s="1145" t="str">
        <f t="shared" ref="Z9:Z14" si="7">Q9</f>
        <v>用途</v>
      </c>
      <c r="AA9" s="1566">
        <f t="shared" si="3"/>
        <v>1</v>
      </c>
      <c r="AB9" s="1566">
        <f t="shared" si="4"/>
        <v>1</v>
      </c>
      <c r="AC9" s="1566">
        <f t="shared" si="5"/>
        <v>1</v>
      </c>
    </row>
    <row r="10" spans="1:29" s="1333" customFormat="1" ht="27">
      <c r="A10" s="2936"/>
      <c r="B10" s="2941" t="s">
        <v>2756</v>
      </c>
      <c r="C10" s="857"/>
      <c r="D10" s="250">
        <v>100</v>
      </c>
      <c r="E10" s="857"/>
      <c r="F10" s="250">
        <f>SUMIF(53:53,E10,54:54)-SUMIF(53:53,C10,54:54)+100</f>
        <v>100</v>
      </c>
      <c r="G10" s="858"/>
      <c r="H10" s="250">
        <f>SUMIF(53:53,G10,54:54)-SUMIF(53:53,C10,54:54)+100</f>
        <v>100</v>
      </c>
      <c r="I10" s="857"/>
      <c r="J10" s="250">
        <f>SUMIF(53:53,I10,54:54)-SUMIF(53:53,C10,54:54)+100</f>
        <v>100</v>
      </c>
      <c r="K10" s="580"/>
      <c r="L10" s="2133"/>
      <c r="M10" s="2173"/>
      <c r="N10" s="2173"/>
      <c r="O10" s="2134"/>
      <c r="P10" s="3463"/>
      <c r="Q10" s="1146" t="str">
        <f t="shared" si="6"/>
        <v>土地使用年限（年）</v>
      </c>
      <c r="R10" s="1563" t="s">
        <v>8</v>
      </c>
      <c r="S10" s="1564">
        <f t="shared" si="0"/>
        <v>100</v>
      </c>
      <c r="T10" s="1563" t="s">
        <v>8</v>
      </c>
      <c r="U10" s="1564">
        <f t="shared" si="1"/>
        <v>100</v>
      </c>
      <c r="V10" s="1563" t="s">
        <v>8</v>
      </c>
      <c r="W10" s="1564">
        <f t="shared" si="2"/>
        <v>100</v>
      </c>
      <c r="X10" s="1565"/>
      <c r="Y10" s="3420"/>
      <c r="Z10" s="1145" t="str">
        <f t="shared" si="7"/>
        <v>土地使用年限（年）</v>
      </c>
      <c r="AA10" s="1566">
        <f t="shared" si="3"/>
        <v>1</v>
      </c>
      <c r="AB10" s="1566">
        <f t="shared" si="4"/>
        <v>1</v>
      </c>
      <c r="AC10" s="1566">
        <f t="shared" si="5"/>
        <v>1</v>
      </c>
    </row>
    <row r="11" spans="1:29" ht="15">
      <c r="A11" s="2938"/>
      <c r="B11" s="2944">
        <v>111</v>
      </c>
      <c r="C11" s="526"/>
      <c r="D11" s="250">
        <v>100</v>
      </c>
      <c r="E11" s="875"/>
      <c r="F11" s="250">
        <f>SUMIF(55:55,E11,56:56)-SUMIF(55:55,C11,56:56)+100</f>
        <v>100</v>
      </c>
      <c r="G11" s="875"/>
      <c r="H11" s="250">
        <f>SUMIF(55:55,G11,56:56)-SUMIF(55:55,C11,56:56)+100</f>
        <v>100</v>
      </c>
      <c r="I11" s="875"/>
      <c r="J11" s="250">
        <f>SUMIF(55:55,I11,56:56)-SUMIF(55:55,C11,56:56)+100</f>
        <v>100</v>
      </c>
      <c r="K11" s="577"/>
      <c r="L11" s="2135"/>
      <c r="M11" s="2129"/>
      <c r="N11" s="2129"/>
      <c r="O11" s="2136"/>
      <c r="P11" s="3463"/>
      <c r="Q11" s="1146">
        <f t="shared" si="6"/>
        <v>111</v>
      </c>
      <c r="R11" s="1563" t="s">
        <v>8</v>
      </c>
      <c r="S11" s="1564">
        <f t="shared" si="0"/>
        <v>100</v>
      </c>
      <c r="T11" s="1563" t="s">
        <v>8</v>
      </c>
      <c r="U11" s="1564">
        <f t="shared" si="1"/>
        <v>100</v>
      </c>
      <c r="V11" s="1563" t="s">
        <v>8</v>
      </c>
      <c r="W11" s="1564">
        <f t="shared" si="2"/>
        <v>100</v>
      </c>
      <c r="X11" s="1565"/>
      <c r="Y11" s="3420"/>
      <c r="Z11" s="1145">
        <f t="shared" si="7"/>
        <v>111</v>
      </c>
      <c r="AA11" s="1566">
        <f t="shared" si="3"/>
        <v>1</v>
      </c>
      <c r="AB11" s="1566">
        <f t="shared" si="4"/>
        <v>1</v>
      </c>
      <c r="AC11" s="1566">
        <f t="shared" si="5"/>
        <v>1</v>
      </c>
    </row>
    <row r="12" spans="1:29" s="1215" customFormat="1" ht="15">
      <c r="A12" s="2938"/>
      <c r="B12" s="2944">
        <v>111</v>
      </c>
      <c r="C12" s="526"/>
      <c r="D12" s="534">
        <v>100</v>
      </c>
      <c r="E12" s="875"/>
      <c r="F12" s="250">
        <f>SUMIF(57:57,E12,58:58)-SUMIF(57:57,C12,58:58)+100</f>
        <v>100</v>
      </c>
      <c r="G12" s="875"/>
      <c r="H12" s="250">
        <f>SUMIF(57:57,G12,58:58)-SUMIF(57:57,C12,58:58)+100</f>
        <v>100</v>
      </c>
      <c r="I12" s="875"/>
      <c r="J12" s="250">
        <f>SUMIF(57:57,I12,58:58)-SUMIF(57:57,C12,58:58)+100</f>
        <v>100</v>
      </c>
      <c r="K12" s="577"/>
      <c r="L12" s="2130"/>
      <c r="M12" s="2131"/>
      <c r="N12" s="2131"/>
      <c r="O12" s="2132"/>
      <c r="P12" s="3463"/>
      <c r="Q12" s="1146">
        <f t="shared" si="6"/>
        <v>111</v>
      </c>
      <c r="R12" s="1563" t="s">
        <v>8</v>
      </c>
      <c r="S12" s="1564">
        <f t="shared" si="0"/>
        <v>100</v>
      </c>
      <c r="T12" s="1563" t="s">
        <v>8</v>
      </c>
      <c r="U12" s="1564">
        <f t="shared" si="1"/>
        <v>100</v>
      </c>
      <c r="V12" s="1563" t="s">
        <v>8</v>
      </c>
      <c r="W12" s="1564">
        <f t="shared" si="2"/>
        <v>100</v>
      </c>
      <c r="X12" s="1565"/>
      <c r="Y12" s="3420"/>
      <c r="Z12" s="1145">
        <f t="shared" si="7"/>
        <v>111</v>
      </c>
      <c r="AA12" s="1566">
        <f>D12/F12</f>
        <v>1</v>
      </c>
      <c r="AB12" s="1566">
        <f>D12/H12</f>
        <v>1</v>
      </c>
      <c r="AC12" s="1566">
        <f>D12/J12</f>
        <v>1</v>
      </c>
    </row>
    <row r="13" spans="1:29" ht="15.75" thickBot="1">
      <c r="A13" s="2939"/>
      <c r="B13" s="2945">
        <v>111</v>
      </c>
      <c r="C13" s="535"/>
      <c r="D13" s="536">
        <v>100</v>
      </c>
      <c r="E13" s="875"/>
      <c r="F13" s="250">
        <f>SUMIF(59:59,E13,60:60)-SUMIF(59:59,C13,60:60)+100</f>
        <v>100</v>
      </c>
      <c r="G13" s="875"/>
      <c r="H13" s="536">
        <f>SUMIF(59:59,G13,60:60)-SUMIF(59:59,C13,60:60)+100</f>
        <v>100</v>
      </c>
      <c r="I13" s="875"/>
      <c r="J13" s="536">
        <f>SUMIF(59:59,I13,60:60)-SUMIF(59:59,C13,60:60)+100</f>
        <v>100</v>
      </c>
      <c r="K13" s="577"/>
      <c r="L13" s="2137"/>
      <c r="M13" s="2129"/>
      <c r="N13" s="2129"/>
      <c r="O13" s="2136"/>
      <c r="P13" s="3463"/>
      <c r="Q13" s="1146">
        <f t="shared" si="6"/>
        <v>111</v>
      </c>
      <c r="R13" s="1563" t="s">
        <v>8</v>
      </c>
      <c r="S13" s="1564">
        <f t="shared" si="0"/>
        <v>100</v>
      </c>
      <c r="T13" s="1563" t="s">
        <v>8</v>
      </c>
      <c r="U13" s="1564">
        <f t="shared" si="1"/>
        <v>100</v>
      </c>
      <c r="V13" s="1563" t="s">
        <v>8</v>
      </c>
      <c r="W13" s="1564">
        <f t="shared" si="2"/>
        <v>100</v>
      </c>
      <c r="X13" s="1565"/>
      <c r="Y13" s="3420"/>
      <c r="Z13" s="1145">
        <f t="shared" si="7"/>
        <v>111</v>
      </c>
      <c r="AA13" s="1566">
        <f t="shared" si="3"/>
        <v>1</v>
      </c>
      <c r="AB13" s="1566">
        <f t="shared" si="4"/>
        <v>1</v>
      </c>
      <c r="AC13" s="1566">
        <f t="shared" si="5"/>
        <v>1</v>
      </c>
    </row>
    <row r="14" spans="1:29" ht="128.25">
      <c r="A14" s="2931" t="s">
        <v>2753</v>
      </c>
      <c r="B14" s="165" t="s">
        <v>537</v>
      </c>
      <c r="C14" s="916" t="str">
        <f>IF(B1="工业",估价对象房地状况!G4,估价对象房地状况!C6)</f>
        <v>估价对象周边1公里有92、840路等公交车及地铁1、9号线经过，公共交通通达情况较好、停车便捷程度较好，综合评价交通便捷度较好</v>
      </c>
      <c r="D14" s="545">
        <v>100</v>
      </c>
      <c r="E14" s="546"/>
      <c r="F14" s="547">
        <f>SUMIF(61:61,E15,62:62)-SUMIF(61:61,C15,62:62)+100</f>
        <v>100</v>
      </c>
      <c r="G14" s="548"/>
      <c r="H14" s="545">
        <f>SUMIF(61:61,G15,62:62)-SUMIF(61:61,C15,62:62)+100</f>
        <v>100</v>
      </c>
      <c r="I14" s="546"/>
      <c r="J14" s="545">
        <f>SUMIF(61:61,I15,62:62)-SUMIF(61:61,C15,62:62)+100</f>
        <v>100</v>
      </c>
      <c r="K14" s="893"/>
      <c r="L14" s="2137"/>
      <c r="M14" s="2129"/>
      <c r="N14" s="2129"/>
      <c r="O14" s="2136"/>
      <c r="P14" s="3465" t="s">
        <v>534</v>
      </c>
      <c r="Q14" s="1567" t="str">
        <f t="shared" si="6"/>
        <v>交通便捷度</v>
      </c>
      <c r="R14" s="1568" t="s">
        <v>8</v>
      </c>
      <c r="S14" s="1569">
        <f t="shared" si="0"/>
        <v>100</v>
      </c>
      <c r="T14" s="1568" t="s">
        <v>8</v>
      </c>
      <c r="U14" s="1569">
        <f t="shared" si="1"/>
        <v>100</v>
      </c>
      <c r="V14" s="1568" t="s">
        <v>8</v>
      </c>
      <c r="W14" s="1569">
        <f t="shared" si="2"/>
        <v>100</v>
      </c>
      <c r="X14" s="1562"/>
      <c r="Y14" s="3465" t="s">
        <v>534</v>
      </c>
      <c r="Z14" s="1570" t="str">
        <f t="shared" si="7"/>
        <v>交通便捷度</v>
      </c>
      <c r="AA14" s="1571">
        <f t="shared" si="3"/>
        <v>1</v>
      </c>
      <c r="AB14" s="1571">
        <f t="shared" si="4"/>
        <v>1</v>
      </c>
      <c r="AC14" s="1571">
        <f t="shared" si="5"/>
        <v>1</v>
      </c>
    </row>
    <row r="15" spans="1:29" ht="15">
      <c r="A15" s="528"/>
      <c r="B15" s="865"/>
      <c r="C15" s="572"/>
      <c r="D15" s="551"/>
      <c r="E15" s="572"/>
      <c r="F15" s="553"/>
      <c r="G15" s="572"/>
      <c r="H15" s="555"/>
      <c r="I15" s="572"/>
      <c r="J15" s="551"/>
      <c r="K15" s="894"/>
      <c r="L15" s="2137"/>
      <c r="M15" s="2129"/>
      <c r="N15" s="2129"/>
      <c r="O15" s="2136"/>
      <c r="P15" s="3466"/>
      <c r="Q15" s="1567"/>
      <c r="R15" s="1568"/>
      <c r="S15" s="1569"/>
      <c r="T15" s="1568"/>
      <c r="U15" s="1569"/>
      <c r="V15" s="1568"/>
      <c r="W15" s="1569"/>
      <c r="X15" s="1562"/>
      <c r="Y15" s="3466"/>
      <c r="Z15" s="1570"/>
      <c r="AA15" s="1571">
        <v>1</v>
      </c>
      <c r="AB15" s="1571">
        <v>1</v>
      </c>
      <c r="AC15" s="1571">
        <v>1</v>
      </c>
    </row>
    <row r="16" spans="1:29" ht="42.75">
      <c r="A16" s="528"/>
      <c r="B16" s="2622" t="s">
        <v>2543</v>
      </c>
      <c r="C16" s="868" t="str">
        <f>IF(B1="工业",估价对象房地状况!G5,估价对象房地状况!C7)</f>
        <v>估价对象所在区域公共配套设施齐备情况一般</v>
      </c>
      <c r="D16" s="561">
        <v>100</v>
      </c>
      <c r="E16" s="566"/>
      <c r="F16" s="567">
        <f>SUMIF(63:63,E17,64:64)-SUMIF(63:63,C17,64:64)+100</f>
        <v>100</v>
      </c>
      <c r="G16" s="568"/>
      <c r="H16" s="561">
        <f>SUMIF(63:63,G17,64:64)-SUMIF(63:63,C17,64:64)+100</f>
        <v>100</v>
      </c>
      <c r="I16" s="566"/>
      <c r="J16" s="561">
        <f>SUMIF(63:63,I17,64:64)-SUMIF(63:63,C17,64:64)+100</f>
        <v>100</v>
      </c>
      <c r="K16" s="893"/>
      <c r="L16" s="2137"/>
      <c r="M16" s="2129"/>
      <c r="N16" s="2129"/>
      <c r="O16" s="2136"/>
      <c r="P16" s="3466"/>
      <c r="Q16" s="1567" t="str">
        <f>B16</f>
        <v>公共配套设施</v>
      </c>
      <c r="R16" s="1568" t="s">
        <v>8</v>
      </c>
      <c r="S16" s="1569">
        <f>F16</f>
        <v>100</v>
      </c>
      <c r="T16" s="1568" t="s">
        <v>8</v>
      </c>
      <c r="U16" s="1569">
        <f>H16</f>
        <v>100</v>
      </c>
      <c r="V16" s="1568" t="s">
        <v>8</v>
      </c>
      <c r="W16" s="1569">
        <f>J16</f>
        <v>100</v>
      </c>
      <c r="X16" s="1562"/>
      <c r="Y16" s="3466"/>
      <c r="Z16" s="1570" t="str">
        <f>Q16</f>
        <v>公共配套设施</v>
      </c>
      <c r="AA16" s="1571">
        <f t="shared" si="3"/>
        <v>1</v>
      </c>
      <c r="AB16" s="1571">
        <f t="shared" si="4"/>
        <v>1</v>
      </c>
      <c r="AC16" s="1571">
        <f t="shared" si="5"/>
        <v>1</v>
      </c>
    </row>
    <row r="17" spans="1:29" ht="15">
      <c r="A17" s="528"/>
      <c r="B17" s="562"/>
      <c r="C17" s="869"/>
      <c r="D17" s="551"/>
      <c r="E17" s="572"/>
      <c r="F17" s="553"/>
      <c r="G17" s="572"/>
      <c r="H17" s="551"/>
      <c r="I17" s="572"/>
      <c r="J17" s="551"/>
      <c r="K17" s="894"/>
      <c r="L17" s="2137"/>
      <c r="M17" s="2129"/>
      <c r="N17" s="2129"/>
      <c r="O17" s="2136"/>
      <c r="P17" s="3466"/>
      <c r="Q17" s="1567"/>
      <c r="R17" s="1568"/>
      <c r="S17" s="1569"/>
      <c r="T17" s="1568"/>
      <c r="U17" s="1569"/>
      <c r="V17" s="1568"/>
      <c r="W17" s="1569"/>
      <c r="X17" s="1562"/>
      <c r="Y17" s="3466"/>
      <c r="Z17" s="1570"/>
      <c r="AA17" s="1571">
        <v>1</v>
      </c>
      <c r="AB17" s="1571">
        <v>1</v>
      </c>
      <c r="AC17" s="1571">
        <v>1</v>
      </c>
    </row>
    <row r="18" spans="1:29" ht="42.75">
      <c r="A18" s="528"/>
      <c r="B18" s="2610" t="s">
        <v>2555</v>
      </c>
      <c r="C18" s="868" t="str">
        <f>IF(B1="工业",估价对象房地状况!G6,估价对象房地状况!C8)</f>
        <v>估价对象所在区域基础设施水平-六通</v>
      </c>
      <c r="D18" s="555">
        <v>100</v>
      </c>
      <c r="E18" s="558"/>
      <c r="F18" s="559">
        <f>SUMIF(65:65,E19,66:66)-SUMIF(65:65,C19,66:66)+100</f>
        <v>100</v>
      </c>
      <c r="G18" s="560"/>
      <c r="H18" s="561">
        <f>SUMIF(65:65,G19,66:66)-SUMIF(65:65,C19,66:66)+100</f>
        <v>100</v>
      </c>
      <c r="I18" s="566"/>
      <c r="J18" s="561">
        <f>SUMIF(65:65,I19,66:66)-SUMIF(65:65,C19,66:66)+100</f>
        <v>100</v>
      </c>
      <c r="K18" s="893"/>
      <c r="L18" s="2137"/>
      <c r="M18" s="2129"/>
      <c r="N18" s="2129"/>
      <c r="O18" s="2136"/>
      <c r="P18" s="3466"/>
      <c r="Q18" s="2598" t="str">
        <f>B18</f>
        <v>基础设施水平</v>
      </c>
      <c r="R18" s="1568" t="s">
        <v>8</v>
      </c>
      <c r="S18" s="1569">
        <f>F18</f>
        <v>100</v>
      </c>
      <c r="T18" s="1568" t="s">
        <v>8</v>
      </c>
      <c r="U18" s="1569">
        <f>H18</f>
        <v>100</v>
      </c>
      <c r="V18" s="1568" t="s">
        <v>8</v>
      </c>
      <c r="W18" s="1569">
        <f>J18</f>
        <v>100</v>
      </c>
      <c r="X18" s="2600"/>
      <c r="Y18" s="3466"/>
      <c r="Z18" s="2599" t="str">
        <f>Q18</f>
        <v>基础设施水平</v>
      </c>
      <c r="AA18" s="1571">
        <f t="shared" ref="AA18" si="8">D18/F18</f>
        <v>1</v>
      </c>
      <c r="AB18" s="1571">
        <f t="shared" ref="AB18" si="9">D18/H18</f>
        <v>1</v>
      </c>
      <c r="AC18" s="1571">
        <f t="shared" ref="AC18" si="10">D18/J18</f>
        <v>1</v>
      </c>
    </row>
    <row r="19" spans="1:29" ht="15">
      <c r="A19" s="528"/>
      <c r="B19" s="574"/>
      <c r="C19" s="869"/>
      <c r="D19" s="555"/>
      <c r="E19" s="869"/>
      <c r="F19" s="559"/>
      <c r="G19" s="869"/>
      <c r="H19" s="551"/>
      <c r="I19" s="572"/>
      <c r="J19" s="551"/>
      <c r="K19" s="2621"/>
      <c r="L19" s="2137"/>
      <c r="M19" s="2129"/>
      <c r="N19" s="2129"/>
      <c r="O19" s="2136"/>
      <c r="P19" s="3466"/>
      <c r="Q19" s="2598"/>
      <c r="R19" s="1568"/>
      <c r="S19" s="1569"/>
      <c r="T19" s="1568"/>
      <c r="U19" s="1569"/>
      <c r="V19" s="1568"/>
      <c r="W19" s="1569"/>
      <c r="X19" s="2600"/>
      <c r="Y19" s="3466"/>
      <c r="Z19" s="2599"/>
      <c r="AA19" s="1571">
        <v>1</v>
      </c>
      <c r="AB19" s="1571">
        <v>1</v>
      </c>
      <c r="AC19" s="1571">
        <v>1</v>
      </c>
    </row>
    <row r="20" spans="1:29" ht="28.5">
      <c r="A20" s="528"/>
      <c r="B20" s="867" t="s">
        <v>797</v>
      </c>
      <c r="C20" s="868" t="str">
        <f>IF(B1="工业",估价对象房地状况!G7,估价对象房地状况!C9)</f>
        <v>周边2公里内区域自然环境较好</v>
      </c>
      <c r="D20" s="561">
        <v>100</v>
      </c>
      <c r="E20" s="566"/>
      <c r="F20" s="567">
        <f>SUMIF(67:67,E21,68:68)-SUMIF(67:67,C21,68:68)+100</f>
        <v>100</v>
      </c>
      <c r="G20" s="568"/>
      <c r="H20" s="555">
        <f>SUMIF(67:67,G21,68:68)-SUMIF(67:67,C21,68:68)+100</f>
        <v>100</v>
      </c>
      <c r="I20" s="558"/>
      <c r="J20" s="555">
        <f>SUMIF(67:67,I21,68:68)-SUMIF(67:67,C21,68:68)+100</f>
        <v>100</v>
      </c>
      <c r="K20" s="893"/>
      <c r="L20" s="2137"/>
      <c r="M20" s="2129"/>
      <c r="N20" s="2129"/>
      <c r="O20" s="2136"/>
      <c r="P20" s="3466"/>
      <c r="Q20" s="1567" t="str">
        <f>B20</f>
        <v>自然及人文环境</v>
      </c>
      <c r="R20" s="1568" t="s">
        <v>8</v>
      </c>
      <c r="S20" s="1569">
        <f>F20</f>
        <v>100</v>
      </c>
      <c r="T20" s="1568" t="s">
        <v>8</v>
      </c>
      <c r="U20" s="1569">
        <f>H20</f>
        <v>100</v>
      </c>
      <c r="V20" s="1568" t="s">
        <v>8</v>
      </c>
      <c r="W20" s="1569">
        <f>J20</f>
        <v>100</v>
      </c>
      <c r="X20" s="1562"/>
      <c r="Y20" s="3466"/>
      <c r="Z20" s="1570" t="str">
        <f>Q20</f>
        <v>自然及人文环境</v>
      </c>
      <c r="AA20" s="1571">
        <f t="shared" si="3"/>
        <v>1</v>
      </c>
      <c r="AB20" s="1571">
        <f t="shared" si="4"/>
        <v>1</v>
      </c>
      <c r="AC20" s="1571">
        <f t="shared" si="5"/>
        <v>1</v>
      </c>
    </row>
    <row r="21" spans="1:29" ht="15">
      <c r="A21" s="528"/>
      <c r="B21" s="591"/>
      <c r="C21" s="572"/>
      <c r="D21" s="551"/>
      <c r="E21" s="572"/>
      <c r="F21" s="553"/>
      <c r="G21" s="572"/>
      <c r="H21" s="551"/>
      <c r="I21" s="572"/>
      <c r="J21" s="551"/>
      <c r="K21" s="894"/>
      <c r="L21" s="2137"/>
      <c r="M21" s="2129"/>
      <c r="N21" s="2129"/>
      <c r="O21" s="2136"/>
      <c r="P21" s="3466"/>
      <c r="Q21" s="1567"/>
      <c r="R21" s="1568"/>
      <c r="S21" s="1569"/>
      <c r="T21" s="1568"/>
      <c r="U21" s="1569"/>
      <c r="V21" s="1568"/>
      <c r="W21" s="1569"/>
      <c r="X21" s="1562"/>
      <c r="Y21" s="3466"/>
      <c r="Z21" s="1570"/>
      <c r="AA21" s="1571">
        <v>1</v>
      </c>
      <c r="AB21" s="1571">
        <v>1</v>
      </c>
      <c r="AC21" s="1571">
        <v>1</v>
      </c>
    </row>
    <row r="22" spans="1:29" ht="15">
      <c r="A22" s="528"/>
      <c r="B22" s="867" t="s">
        <v>798</v>
      </c>
      <c r="C22" s="579"/>
      <c r="D22" s="555">
        <v>100</v>
      </c>
      <c r="E22" s="579"/>
      <c r="F22" s="571">
        <f>SUMIF(69:69,E22,70:70)-SUMIF(69:69,C22,70:70)+100</f>
        <v>100</v>
      </c>
      <c r="G22" s="579"/>
      <c r="H22" s="536">
        <f>SUMIF(69:69,G22,70:70)-SUMIF(69:69,C22,70:70)+100</f>
        <v>100</v>
      </c>
      <c r="I22" s="579"/>
      <c r="J22" s="536">
        <f>SUMIF(69:69,I22,70:70)-SUMIF(69:69,C22,70:70)+100</f>
        <v>100</v>
      </c>
      <c r="K22" s="580"/>
      <c r="L22" s="2137"/>
      <c r="M22" s="2129"/>
      <c r="N22" s="2129"/>
      <c r="O22" s="2136"/>
      <c r="P22" s="3466"/>
      <c r="Q22" s="1567" t="str">
        <f>B22</f>
        <v>楼层</v>
      </c>
      <c r="R22" s="1568" t="s">
        <v>8</v>
      </c>
      <c r="S22" s="1569">
        <f>F22</f>
        <v>100</v>
      </c>
      <c r="T22" s="1568" t="s">
        <v>8</v>
      </c>
      <c r="U22" s="1569">
        <f>H22</f>
        <v>100</v>
      </c>
      <c r="V22" s="1568" t="s">
        <v>8</v>
      </c>
      <c r="W22" s="1569">
        <f>J22</f>
        <v>100</v>
      </c>
      <c r="X22" s="1562"/>
      <c r="Y22" s="3466"/>
      <c r="Z22" s="1570" t="str">
        <f>Q22</f>
        <v>楼层</v>
      </c>
      <c r="AA22" s="1571">
        <f t="shared" si="3"/>
        <v>1</v>
      </c>
      <c r="AB22" s="1571">
        <f t="shared" si="4"/>
        <v>1</v>
      </c>
      <c r="AC22" s="1571">
        <f t="shared" si="5"/>
        <v>1</v>
      </c>
    </row>
    <row r="23" spans="1:29" ht="15">
      <c r="A23" s="513"/>
      <c r="B23" s="533">
        <v>111</v>
      </c>
      <c r="C23" s="526"/>
      <c r="D23" s="536">
        <v>100</v>
      </c>
      <c r="E23" s="535"/>
      <c r="F23" s="571">
        <f>SUMIF(71:71,E23,72:72)-SUMIF(71:71,C23,72:72)+100</f>
        <v>100</v>
      </c>
      <c r="G23" s="535"/>
      <c r="H23" s="536">
        <f>SUMIF(71:71,G23,72:72)-SUMIF(71:71,C23,72:72)+100</f>
        <v>100</v>
      </c>
      <c r="I23" s="535"/>
      <c r="J23" s="536">
        <f>SUMIF(71:71,I23,72:72)-SUMIF(71:71,C23,72:72)+100</f>
        <v>100</v>
      </c>
      <c r="K23" s="577"/>
      <c r="L23" s="2137"/>
      <c r="M23" s="2129"/>
      <c r="N23" s="2129"/>
      <c r="O23" s="2136"/>
      <c r="P23" s="3466"/>
      <c r="Q23" s="1567">
        <f>B23</f>
        <v>111</v>
      </c>
      <c r="R23" s="1568" t="s">
        <v>8</v>
      </c>
      <c r="S23" s="1569">
        <f>F23</f>
        <v>100</v>
      </c>
      <c r="T23" s="1568" t="s">
        <v>8</v>
      </c>
      <c r="U23" s="1569">
        <f>H23</f>
        <v>100</v>
      </c>
      <c r="V23" s="1568" t="s">
        <v>8</v>
      </c>
      <c r="W23" s="1569">
        <f>J23</f>
        <v>100</v>
      </c>
      <c r="X23" s="1562"/>
      <c r="Y23" s="3466"/>
      <c r="Z23" s="1570">
        <f>Q23</f>
        <v>111</v>
      </c>
      <c r="AA23" s="1571">
        <f t="shared" si="3"/>
        <v>1</v>
      </c>
      <c r="AB23" s="1571">
        <f t="shared" si="4"/>
        <v>1</v>
      </c>
      <c r="AC23" s="1571">
        <f t="shared" si="5"/>
        <v>1</v>
      </c>
    </row>
    <row r="24" spans="1:29" ht="15">
      <c r="A24" s="528"/>
      <c r="B24" s="533">
        <v>111</v>
      </c>
      <c r="C24" s="526"/>
      <c r="D24" s="536">
        <v>100</v>
      </c>
      <c r="E24" s="535"/>
      <c r="F24" s="571">
        <f>SUMIF(73:73,E24,74:74)-SUMIF(73:73,C24,74:74)+100</f>
        <v>100</v>
      </c>
      <c r="G24" s="535"/>
      <c r="H24" s="536">
        <f>SUMIF(73:73,G24,74:74)-SUMIF(73:73,C24,74:74)+100</f>
        <v>100</v>
      </c>
      <c r="I24" s="535"/>
      <c r="J24" s="536">
        <f>SUMIF(73:73,I24,74:74)-SUMIF(73:73,C24,74:74)+100</f>
        <v>100</v>
      </c>
      <c r="K24" s="577"/>
      <c r="L24" s="2137"/>
      <c r="M24" s="2129"/>
      <c r="N24" s="2129"/>
      <c r="O24" s="2136"/>
      <c r="P24" s="3466"/>
      <c r="Q24" s="1567">
        <f t="shared" ref="Q24:Q34" si="11">B24</f>
        <v>111</v>
      </c>
      <c r="R24" s="1568" t="s">
        <v>8</v>
      </c>
      <c r="S24" s="1569">
        <f>F24</f>
        <v>100</v>
      </c>
      <c r="T24" s="1568" t="s">
        <v>8</v>
      </c>
      <c r="U24" s="1569">
        <f>H24</f>
        <v>100</v>
      </c>
      <c r="V24" s="1568" t="s">
        <v>8</v>
      </c>
      <c r="W24" s="1569">
        <f>J24</f>
        <v>100</v>
      </c>
      <c r="X24" s="1562"/>
      <c r="Y24" s="3466"/>
      <c r="Z24" s="1570">
        <f>Q24</f>
        <v>111</v>
      </c>
      <c r="AA24" s="1571">
        <f t="shared" si="3"/>
        <v>1</v>
      </c>
      <c r="AB24" s="1571">
        <f t="shared" si="4"/>
        <v>1</v>
      </c>
      <c r="AC24" s="1571">
        <f t="shared" si="5"/>
        <v>1</v>
      </c>
    </row>
    <row r="25" spans="1:29" s="1215" customFormat="1" ht="15.75" thickBot="1">
      <c r="A25" s="532"/>
      <c r="B25" s="533">
        <v>111</v>
      </c>
      <c r="C25" s="935"/>
      <c r="D25" s="936">
        <v>100</v>
      </c>
      <c r="E25" s="935"/>
      <c r="F25" s="937">
        <f>SUMIF(75:75,E25,76:76)-SUMIF(75:75,C25,76:76)+100</f>
        <v>100</v>
      </c>
      <c r="G25" s="935"/>
      <c r="H25" s="936">
        <f>SUMIF(75:75,G25,76:76)-SUMIF(75:75,C25,76:76)+100</f>
        <v>100</v>
      </c>
      <c r="I25" s="935"/>
      <c r="J25" s="936">
        <f>SUMIF(75:75,I25,76:76)-SUMIF(75:75,C25,76:76)+100</f>
        <v>100</v>
      </c>
      <c r="K25" s="577"/>
      <c r="L25" s="2130"/>
      <c r="M25" s="2131"/>
      <c r="N25" s="2131"/>
      <c r="O25" s="2132"/>
      <c r="P25" s="3466"/>
      <c r="Q25" s="1146">
        <f t="shared" si="11"/>
        <v>111</v>
      </c>
      <c r="R25" s="1563" t="s">
        <v>8</v>
      </c>
      <c r="S25" s="1564">
        <f>F25</f>
        <v>100</v>
      </c>
      <c r="T25" s="1563" t="s">
        <v>8</v>
      </c>
      <c r="U25" s="1564">
        <f>H25</f>
        <v>100</v>
      </c>
      <c r="V25" s="1563" t="s">
        <v>8</v>
      </c>
      <c r="W25" s="1564">
        <f>J25</f>
        <v>100</v>
      </c>
      <c r="X25" s="1565"/>
      <c r="Y25" s="3466"/>
      <c r="Z25" s="1145">
        <f>Q25</f>
        <v>111</v>
      </c>
      <c r="AA25" s="1571">
        <f>D25/F25</f>
        <v>1</v>
      </c>
      <c r="AB25" s="1571">
        <f>D25/H25</f>
        <v>1</v>
      </c>
      <c r="AC25" s="1571">
        <f>D25/J25</f>
        <v>1</v>
      </c>
    </row>
    <row r="26" spans="1:29" ht="15">
      <c r="A26" s="2928" t="s">
        <v>2754</v>
      </c>
      <c r="B26" s="171" t="s">
        <v>801</v>
      </c>
      <c r="C26" s="911"/>
      <c r="D26" s="593">
        <v>100</v>
      </c>
      <c r="E26" s="911"/>
      <c r="F26" s="938">
        <f>SUMIF(77:77,E26,78:78)-SUMIF(77:77,C26,78:78)+100</f>
        <v>100</v>
      </c>
      <c r="G26" s="911"/>
      <c r="H26" s="593">
        <f>SUMIF(77:77,G26,78:78)-SUMIF(77:77,C26,78:78)+100</f>
        <v>100</v>
      </c>
      <c r="I26" s="911"/>
      <c r="J26" s="593">
        <f>SUMIF(77:77,I26,78:78)-SUMIF(77:77,C26,78:78)+100</f>
        <v>100</v>
      </c>
      <c r="K26" s="580"/>
      <c r="L26" s="2137"/>
      <c r="M26" s="2129"/>
      <c r="N26" s="2129"/>
      <c r="O26" s="2136"/>
      <c r="P26" s="3467" t="s">
        <v>814</v>
      </c>
      <c r="Q26" s="1567" t="str">
        <f t="shared" si="11"/>
        <v>公共部分装修</v>
      </c>
      <c r="R26" s="1568" t="s">
        <v>8</v>
      </c>
      <c r="S26" s="1569">
        <f t="shared" ref="S26:S34" si="12">F26</f>
        <v>100</v>
      </c>
      <c r="T26" s="1568" t="s">
        <v>8</v>
      </c>
      <c r="U26" s="1569">
        <f t="shared" ref="U26:U34" si="13">H26</f>
        <v>100</v>
      </c>
      <c r="V26" s="1568" t="s">
        <v>8</v>
      </c>
      <c r="W26" s="1569">
        <f t="shared" ref="W26:W34" si="14">J26</f>
        <v>100</v>
      </c>
      <c r="X26" s="1562"/>
      <c r="Y26" s="3468" t="s">
        <v>814</v>
      </c>
      <c r="Z26" s="1570" t="str">
        <f t="shared" ref="Z26:Z34" si="15">Q26</f>
        <v>公共部分装修</v>
      </c>
      <c r="AA26" s="1571">
        <f t="shared" si="3"/>
        <v>1</v>
      </c>
      <c r="AB26" s="1571">
        <f t="shared" si="4"/>
        <v>1</v>
      </c>
      <c r="AC26" s="1571">
        <f t="shared" si="5"/>
        <v>1</v>
      </c>
    </row>
    <row r="27" spans="1:29" s="1334" customFormat="1" ht="15">
      <c r="A27" s="599"/>
      <c r="B27" s="525" t="s">
        <v>802</v>
      </c>
      <c r="C27" s="878"/>
      <c r="D27" s="250">
        <v>100</v>
      </c>
      <c r="E27" s="879"/>
      <c r="F27" s="571" t="e">
        <f>LOOKUP(E27,80:80,81:81)-LOOKUP(C27,80:80,81:81)+100</f>
        <v>#N/A</v>
      </c>
      <c r="G27" s="880"/>
      <c r="H27" s="536" t="e">
        <f>LOOKUP(G27,80:80,81:81)-LOOKUP(C27,80:80,81:81)+100</f>
        <v>#N/A</v>
      </c>
      <c r="I27" s="880"/>
      <c r="J27" s="536" t="e">
        <f>LOOKUP(I27,80:80,81:81)-LOOKUP(C27,80:80,81:81)+100</f>
        <v>#N/A</v>
      </c>
      <c r="K27" s="580"/>
      <c r="L27" s="2135"/>
      <c r="M27" s="2166"/>
      <c r="N27" s="2166"/>
      <c r="O27" s="2138"/>
      <c r="P27" s="3468"/>
      <c r="Q27" s="1600" t="str">
        <f t="shared" si="11"/>
        <v>成新率</v>
      </c>
      <c r="R27" s="1572" t="s">
        <v>8</v>
      </c>
      <c r="S27" s="1573" t="e">
        <f t="shared" si="12"/>
        <v>#N/A</v>
      </c>
      <c r="T27" s="1572" t="s">
        <v>8</v>
      </c>
      <c r="U27" s="1573" t="e">
        <f t="shared" si="13"/>
        <v>#N/A</v>
      </c>
      <c r="V27" s="1572" t="s">
        <v>8</v>
      </c>
      <c r="W27" s="1573" t="e">
        <f t="shared" si="14"/>
        <v>#N/A</v>
      </c>
      <c r="X27" s="1574"/>
      <c r="Y27" s="3468"/>
      <c r="Z27" s="1575" t="str">
        <f t="shared" si="15"/>
        <v>成新率</v>
      </c>
      <c r="AA27" s="1571" t="e">
        <f t="shared" si="3"/>
        <v>#N/A</v>
      </c>
      <c r="AB27" s="1571" t="e">
        <f t="shared" si="4"/>
        <v>#N/A</v>
      </c>
      <c r="AC27" s="1571" t="e">
        <f t="shared" si="5"/>
        <v>#N/A</v>
      </c>
    </row>
    <row r="28" spans="1:29" ht="15">
      <c r="A28" s="590"/>
      <c r="B28" s="525" t="s">
        <v>803</v>
      </c>
      <c r="C28" s="570"/>
      <c r="D28" s="536">
        <v>100</v>
      </c>
      <c r="E28" s="570"/>
      <c r="F28" s="571">
        <f>SUMIF(82:82,E28,83:83)-SUMIF(82:82,C28,83:83)+100</f>
        <v>100</v>
      </c>
      <c r="G28" s="570"/>
      <c r="H28" s="536">
        <f>SUMIF(82:82,G28,83:83)-SUMIF(82:82,C28,83:83)+100</f>
        <v>100</v>
      </c>
      <c r="I28" s="570"/>
      <c r="J28" s="536">
        <f>SUMIF(82:82,I28,83:83)-SUMIF(82:82,C28,83:83)+100</f>
        <v>100</v>
      </c>
      <c r="K28" s="580"/>
      <c r="L28" s="2137"/>
      <c r="M28" s="2129"/>
      <c r="N28" s="2129"/>
      <c r="O28" s="2136"/>
      <c r="P28" s="3468"/>
      <c r="Q28" s="1567" t="str">
        <f t="shared" si="11"/>
        <v>物业等级</v>
      </c>
      <c r="R28" s="1568" t="s">
        <v>8</v>
      </c>
      <c r="S28" s="1569">
        <f t="shared" si="12"/>
        <v>100</v>
      </c>
      <c r="T28" s="1568" t="s">
        <v>8</v>
      </c>
      <c r="U28" s="1569">
        <f t="shared" si="13"/>
        <v>100</v>
      </c>
      <c r="V28" s="1568" t="s">
        <v>8</v>
      </c>
      <c r="W28" s="1569">
        <f t="shared" si="14"/>
        <v>100</v>
      </c>
      <c r="X28" s="1562"/>
      <c r="Y28" s="3468"/>
      <c r="Z28" s="1570" t="str">
        <f t="shared" si="15"/>
        <v>物业等级</v>
      </c>
      <c r="AA28" s="1571">
        <f t="shared" si="3"/>
        <v>1</v>
      </c>
      <c r="AB28" s="1571">
        <f t="shared" si="4"/>
        <v>1</v>
      </c>
      <c r="AC28" s="1571">
        <f t="shared" si="5"/>
        <v>1</v>
      </c>
    </row>
    <row r="29" spans="1:29" ht="15">
      <c r="A29" s="590"/>
      <c r="B29" s="525" t="s">
        <v>815</v>
      </c>
      <c r="C29" s="927"/>
      <c r="D29" s="536">
        <v>100</v>
      </c>
      <c r="E29" s="927"/>
      <c r="F29" s="571">
        <f>SUMIF(84:84,E29,85:85)-SUMIF(84:84,C29,85:85)+100</f>
        <v>100</v>
      </c>
      <c r="G29" s="927"/>
      <c r="H29" s="536">
        <f>SUMIF(84:84,G29,85:85)-SUMIF(84:84,C29,85:85)+100</f>
        <v>100</v>
      </c>
      <c r="I29" s="927"/>
      <c r="J29" s="536">
        <f>SUMIF(84:84,I29,85:85)-SUMIF(84:84,C29,85:85)+100</f>
        <v>100</v>
      </c>
      <c r="K29" s="580"/>
      <c r="L29" s="2137"/>
      <c r="M29" s="2129"/>
      <c r="N29" s="2129"/>
      <c r="O29" s="2136"/>
      <c r="P29" s="3468"/>
      <c r="Q29" s="1567" t="str">
        <f t="shared" si="11"/>
        <v>有无电梯</v>
      </c>
      <c r="R29" s="1568" t="s">
        <v>8</v>
      </c>
      <c r="S29" s="1569">
        <f t="shared" si="12"/>
        <v>100</v>
      </c>
      <c r="T29" s="1568" t="s">
        <v>8</v>
      </c>
      <c r="U29" s="1569">
        <f t="shared" si="13"/>
        <v>100</v>
      </c>
      <c r="V29" s="1568" t="s">
        <v>8</v>
      </c>
      <c r="W29" s="1569">
        <f t="shared" si="14"/>
        <v>100</v>
      </c>
      <c r="X29" s="1562"/>
      <c r="Y29" s="3468"/>
      <c r="Z29" s="1570" t="str">
        <f t="shared" si="15"/>
        <v>有无电梯</v>
      </c>
      <c r="AA29" s="1571">
        <f t="shared" si="3"/>
        <v>1</v>
      </c>
      <c r="AB29" s="1571">
        <f t="shared" si="4"/>
        <v>1</v>
      </c>
      <c r="AC29" s="1571">
        <f t="shared" si="5"/>
        <v>1</v>
      </c>
    </row>
    <row r="30" spans="1:29" ht="15">
      <c r="A30" s="590"/>
      <c r="B30" s="525" t="s">
        <v>816</v>
      </c>
      <c r="C30" s="875"/>
      <c r="D30" s="536">
        <v>100</v>
      </c>
      <c r="E30" s="875"/>
      <c r="F30" s="571" t="e">
        <f>LOOKUP(E30,87:87,88:88)-LOOKUP(C30,87:87,88:88)+100</f>
        <v>#N/A</v>
      </c>
      <c r="G30" s="875"/>
      <c r="H30" s="536" t="e">
        <f>LOOKUP(G30,87:87,88:88)-LOOKUP(C30,87:87,88:88)+100</f>
        <v>#N/A</v>
      </c>
      <c r="I30" s="875"/>
      <c r="J30" s="536" t="e">
        <f>LOOKUP(I30,87:87,88:88)-LOOKUP(C30,87:87,88:88)+100</f>
        <v>#N/A</v>
      </c>
      <c r="K30" s="577"/>
      <c r="L30" s="2137"/>
      <c r="M30" s="2129"/>
      <c r="N30" s="2129"/>
      <c r="O30" s="2136"/>
      <c r="P30" s="3468"/>
      <c r="Q30" s="1567" t="str">
        <f t="shared" si="11"/>
        <v>建筑面积</v>
      </c>
      <c r="R30" s="1568" t="s">
        <v>8</v>
      </c>
      <c r="S30" s="1569" t="e">
        <f t="shared" si="12"/>
        <v>#N/A</v>
      </c>
      <c r="T30" s="1568" t="s">
        <v>8</v>
      </c>
      <c r="U30" s="1569" t="e">
        <f t="shared" si="13"/>
        <v>#N/A</v>
      </c>
      <c r="V30" s="1568" t="s">
        <v>8</v>
      </c>
      <c r="W30" s="1569" t="e">
        <f t="shared" si="14"/>
        <v>#N/A</v>
      </c>
      <c r="X30" s="1562"/>
      <c r="Y30" s="3468"/>
      <c r="Z30" s="1570" t="str">
        <f t="shared" si="15"/>
        <v>建筑面积</v>
      </c>
      <c r="AA30" s="1571" t="e">
        <f t="shared" si="3"/>
        <v>#N/A</v>
      </c>
      <c r="AB30" s="1571" t="e">
        <f t="shared" si="4"/>
        <v>#N/A</v>
      </c>
      <c r="AC30" s="1571" t="e">
        <f t="shared" si="5"/>
        <v>#N/A</v>
      </c>
    </row>
    <row r="31" spans="1:29" s="1215" customFormat="1" ht="15">
      <c r="A31" s="596"/>
      <c r="B31" s="525" t="s">
        <v>817</v>
      </c>
      <c r="C31" s="927"/>
      <c r="D31" s="250">
        <v>100</v>
      </c>
      <c r="E31" s="927"/>
      <c r="F31" s="571">
        <f>SUMIF(89:89,E31,90:90)-SUMIF(89:89,C31,90:90)+100</f>
        <v>100</v>
      </c>
      <c r="G31" s="927"/>
      <c r="H31" s="536">
        <f>SUMIF(89:89,G31,90:90)-SUMIF(89:89,C31,90:90)+100</f>
        <v>100</v>
      </c>
      <c r="I31" s="927"/>
      <c r="J31" s="536">
        <f>SUMIF(89:89,I31,90:90)-SUMIF(89:89,C31,90:90)+100</f>
        <v>100</v>
      </c>
      <c r="K31" s="580"/>
      <c r="L31" s="2130"/>
      <c r="M31" s="2131"/>
      <c r="N31" s="2131"/>
      <c r="O31" s="2132"/>
      <c r="P31" s="3468"/>
      <c r="Q31" s="1146" t="str">
        <f t="shared" si="11"/>
        <v>是否封闭</v>
      </c>
      <c r="R31" s="1563" t="s">
        <v>8</v>
      </c>
      <c r="S31" s="1564">
        <f t="shared" si="12"/>
        <v>100</v>
      </c>
      <c r="T31" s="1563" t="s">
        <v>8</v>
      </c>
      <c r="U31" s="1564">
        <f t="shared" si="13"/>
        <v>100</v>
      </c>
      <c r="V31" s="1563" t="s">
        <v>8</v>
      </c>
      <c r="W31" s="1564">
        <f t="shared" si="14"/>
        <v>100</v>
      </c>
      <c r="X31" s="1565"/>
      <c r="Y31" s="3468"/>
      <c r="Z31" s="1145" t="str">
        <f t="shared" si="15"/>
        <v>是否封闭</v>
      </c>
      <c r="AA31" s="1566">
        <f t="shared" si="3"/>
        <v>1</v>
      </c>
      <c r="AB31" s="1566">
        <f t="shared" si="4"/>
        <v>1</v>
      </c>
      <c r="AC31" s="1566">
        <f t="shared" si="5"/>
        <v>1</v>
      </c>
    </row>
    <row r="32" spans="1:29" ht="15">
      <c r="A32" s="590"/>
      <c r="B32" s="533">
        <v>111</v>
      </c>
      <c r="C32" s="526"/>
      <c r="D32" s="536">
        <v>100</v>
      </c>
      <c r="E32" s="875"/>
      <c r="F32" s="571">
        <f>SUMIF(91:91,E32,92:92)-SUMIF(91:91,C32,92:92)+100</f>
        <v>100</v>
      </c>
      <c r="G32" s="875"/>
      <c r="H32" s="536">
        <f>SUMIF(91:91,G32,92:92)-SUMIF(91:91,C32,92:92)+100</f>
        <v>100</v>
      </c>
      <c r="I32" s="875"/>
      <c r="J32" s="536">
        <f>SUMIF(91:91,I32,92:92)-SUMIF(91:91,C32,92:92)+100</f>
        <v>100</v>
      </c>
      <c r="K32" s="577"/>
      <c r="L32" s="2137"/>
      <c r="M32" s="2129"/>
      <c r="N32" s="2129"/>
      <c r="O32" s="2136"/>
      <c r="P32" s="3468" t="s">
        <v>544</v>
      </c>
      <c r="Q32" s="1567">
        <f t="shared" si="11"/>
        <v>111</v>
      </c>
      <c r="R32" s="1568" t="s">
        <v>8</v>
      </c>
      <c r="S32" s="1569">
        <f t="shared" si="12"/>
        <v>100</v>
      </c>
      <c r="T32" s="1568" t="s">
        <v>8</v>
      </c>
      <c r="U32" s="1569">
        <f t="shared" si="13"/>
        <v>100</v>
      </c>
      <c r="V32" s="1568" t="s">
        <v>8</v>
      </c>
      <c r="W32" s="1569">
        <f t="shared" si="14"/>
        <v>100</v>
      </c>
      <c r="X32" s="1562"/>
      <c r="Y32" s="3468" t="s">
        <v>544</v>
      </c>
      <c r="Z32" s="1570">
        <f t="shared" si="15"/>
        <v>111</v>
      </c>
      <c r="AA32" s="1571">
        <f t="shared" si="3"/>
        <v>1</v>
      </c>
      <c r="AB32" s="1571">
        <f t="shared" si="4"/>
        <v>1</v>
      </c>
      <c r="AC32" s="1571">
        <f t="shared" si="5"/>
        <v>1</v>
      </c>
    </row>
    <row r="33" spans="1:29" ht="15">
      <c r="A33" s="590"/>
      <c r="B33" s="533">
        <v>111</v>
      </c>
      <c r="C33" s="526"/>
      <c r="D33" s="536">
        <v>100</v>
      </c>
      <c r="E33" s="875"/>
      <c r="F33" s="571">
        <f>SUMIF(93:93,E33,94:94)-SUMIF(93:93,C33,94:94)+100</f>
        <v>100</v>
      </c>
      <c r="G33" s="875"/>
      <c r="H33" s="536">
        <f>SUMIF(93:93,G33,94:94)-SUMIF(93:93,C33,94:94)+100</f>
        <v>100</v>
      </c>
      <c r="I33" s="875"/>
      <c r="J33" s="536">
        <f>SUMIF(93:93,I33,94:94)-SUMIF(93:93,C33,94:94)+100</f>
        <v>100</v>
      </c>
      <c r="K33" s="577"/>
      <c r="L33" s="2137"/>
      <c r="M33" s="2129"/>
      <c r="N33" s="2129"/>
      <c r="O33" s="2136"/>
      <c r="P33" s="3468"/>
      <c r="Q33" s="1567">
        <f t="shared" si="11"/>
        <v>111</v>
      </c>
      <c r="R33" s="1568" t="s">
        <v>8</v>
      </c>
      <c r="S33" s="1569">
        <f t="shared" si="12"/>
        <v>100</v>
      </c>
      <c r="T33" s="1568" t="s">
        <v>8</v>
      </c>
      <c r="U33" s="1569">
        <f t="shared" si="13"/>
        <v>100</v>
      </c>
      <c r="V33" s="1568" t="s">
        <v>8</v>
      </c>
      <c r="W33" s="1569">
        <f t="shared" si="14"/>
        <v>100</v>
      </c>
      <c r="X33" s="1562"/>
      <c r="Y33" s="3468"/>
      <c r="Z33" s="1570">
        <f t="shared" si="15"/>
        <v>111</v>
      </c>
      <c r="AA33" s="1571">
        <f t="shared" si="3"/>
        <v>1</v>
      </c>
      <c r="AB33" s="1571">
        <f t="shared" si="4"/>
        <v>1</v>
      </c>
      <c r="AC33" s="1571">
        <f t="shared" si="5"/>
        <v>1</v>
      </c>
    </row>
    <row r="34" spans="1:29" ht="15.75" thickBot="1">
      <c r="A34" s="881"/>
      <c r="B34" s="540">
        <v>111</v>
      </c>
      <c r="C34" s="541"/>
      <c r="D34" s="542">
        <v>100</v>
      </c>
      <c r="E34" s="939"/>
      <c r="F34" s="862">
        <f>SUMIF(95:95,E34,96:96)-SUMIF(95:95,C34,96:96)+100</f>
        <v>100</v>
      </c>
      <c r="G34" s="939"/>
      <c r="H34" s="542">
        <f>SUMIF(95:95,G34,96:96)-SUMIF(95:95,C34,96:96)+100</f>
        <v>100</v>
      </c>
      <c r="I34" s="939"/>
      <c r="J34" s="542">
        <f>SUMIF(95:95,I34,96:96)-SUMIF(95:95,C34,96:96)+100</f>
        <v>100</v>
      </c>
      <c r="K34" s="577"/>
      <c r="L34" s="2137"/>
      <c r="M34" s="2129"/>
      <c r="N34" s="2129"/>
      <c r="O34" s="2136"/>
      <c r="P34" s="3468"/>
      <c r="Q34" s="1567">
        <f t="shared" si="11"/>
        <v>111</v>
      </c>
      <c r="R34" s="1568" t="s">
        <v>8</v>
      </c>
      <c r="S34" s="1569">
        <f t="shared" si="12"/>
        <v>100</v>
      </c>
      <c r="T34" s="1568" t="s">
        <v>8</v>
      </c>
      <c r="U34" s="1569">
        <f t="shared" si="13"/>
        <v>100</v>
      </c>
      <c r="V34" s="1568" t="s">
        <v>8</v>
      </c>
      <c r="W34" s="1569">
        <f t="shared" si="14"/>
        <v>100</v>
      </c>
      <c r="X34" s="1562"/>
      <c r="Y34" s="3468"/>
      <c r="Z34" s="1570">
        <f t="shared" si="15"/>
        <v>111</v>
      </c>
      <c r="AA34" s="1571">
        <f t="shared" si="3"/>
        <v>1</v>
      </c>
      <c r="AB34" s="1571">
        <f t="shared" si="4"/>
        <v>1</v>
      </c>
      <c r="AC34" s="1571">
        <f t="shared" si="5"/>
        <v>1</v>
      </c>
    </row>
    <row r="35" spans="1:29" ht="15">
      <c r="A35" s="603" t="s">
        <v>729</v>
      </c>
      <c r="B35" s="882"/>
      <c r="C35" s="2646" t="s">
        <v>1</v>
      </c>
      <c r="D35" s="2647"/>
      <c r="E35" s="2648"/>
      <c r="F35" s="2649"/>
      <c r="G35" s="2650"/>
      <c r="H35" s="2651"/>
      <c r="I35" s="2648"/>
      <c r="J35" s="2651"/>
      <c r="K35" s="1606"/>
      <c r="L35" s="2139"/>
      <c r="M35" s="2140"/>
      <c r="N35" s="2129"/>
      <c r="O35" s="2140"/>
      <c r="P35" s="3463" t="str">
        <f>A35</f>
        <v>成交单价（元/平方米）</v>
      </c>
      <c r="Q35" s="3463"/>
      <c r="R35" s="3542">
        <f>E35</f>
        <v>0</v>
      </c>
      <c r="S35" s="3542"/>
      <c r="T35" s="3542">
        <f>G35</f>
        <v>0</v>
      </c>
      <c r="U35" s="3542"/>
      <c r="V35" s="3542">
        <f>I35</f>
        <v>0</v>
      </c>
      <c r="W35" s="3542"/>
      <c r="X35" s="1554"/>
      <c r="Y35" s="1576"/>
      <c r="Z35" s="1554"/>
      <c r="AA35" s="1554"/>
      <c r="AB35" s="1554"/>
      <c r="AC35" s="1554"/>
    </row>
    <row r="36" spans="1:29" ht="15.75" thickBot="1">
      <c r="A36" s="611" t="s">
        <v>2759</v>
      </c>
      <c r="B36" s="883"/>
      <c r="C36" s="2652" t="e">
        <f>R37</f>
        <v>#DIV/0!</v>
      </c>
      <c r="D36" s="2653"/>
      <c r="E36" s="2654" t="e">
        <f>R36</f>
        <v>#DIV/0!</v>
      </c>
      <c r="F36" s="2654"/>
      <c r="G36" s="2652" t="e">
        <f>T36</f>
        <v>#DIV/0!</v>
      </c>
      <c r="H36" s="2653"/>
      <c r="I36" s="2654" t="e">
        <f>V36</f>
        <v>#DIV/0!</v>
      </c>
      <c r="J36" s="2653"/>
      <c r="K36" s="1607"/>
      <c r="L36" s="2139"/>
      <c r="M36" s="2140"/>
      <c r="N36" s="2129"/>
      <c r="O36" s="2140"/>
      <c r="P36" s="3463" t="str">
        <f>A36</f>
        <v>比较价格（元/平方米）</v>
      </c>
      <c r="Q36" s="3463"/>
      <c r="R36" s="3542" t="e">
        <f>IF(F1="售价",ROUND(PRODUCT(R35,AA7:AA34),0),ROUND(PRODUCT(R35,AA7:AA34),1))</f>
        <v>#DIV/0!</v>
      </c>
      <c r="S36" s="3542"/>
      <c r="T36" s="3542" t="e">
        <f>IF(F1="售价",ROUND(PRODUCT(T35,AB7:AB34),0),ROUND(PRODUCT(T35,AB7:AB34),1))</f>
        <v>#DIV/0!</v>
      </c>
      <c r="U36" s="3542"/>
      <c r="V36" s="3542" t="e">
        <f>IF(F1="售价",ROUND(PRODUCT(V35,AC7:AC34),0),ROUND(PRODUCT(V35,AC7:AC34),1))</f>
        <v>#DIV/0!</v>
      </c>
      <c r="W36" s="3542"/>
      <c r="X36" s="1554"/>
      <c r="Y36" s="1554"/>
      <c r="Z36" s="1554"/>
      <c r="AA36" s="1554"/>
      <c r="AB36" s="1554"/>
      <c r="AC36" s="1554"/>
    </row>
    <row r="37" spans="1:29" ht="15.75" thickBot="1">
      <c r="A37" s="617" t="s">
        <v>2929</v>
      </c>
      <c r="B37" s="618"/>
      <c r="C37" s="2655" t="e">
        <f>R37</f>
        <v>#DIV/0!</v>
      </c>
      <c r="D37" s="2655"/>
      <c r="E37" s="2655"/>
      <c r="F37" s="2655"/>
      <c r="G37" s="2655"/>
      <c r="H37" s="2655"/>
      <c r="I37" s="2655"/>
      <c r="J37" s="2655"/>
      <c r="K37" s="1608"/>
      <c r="L37" s="2139"/>
      <c r="M37" s="2140"/>
      <c r="N37" s="2140"/>
      <c r="O37" s="2140"/>
      <c r="P37" s="3484" t="str">
        <f>A37</f>
        <v>估价对象XX用房的比较价格（楼面单价，元/平方米）</v>
      </c>
      <c r="Q37" s="3485"/>
      <c r="R37" s="3541" t="e">
        <f>IF(F1="售价",ROUND(AVERAGE(R36:V36),0),ROUND(AVERAGE(R36:V36),1))</f>
        <v>#DIV/0!</v>
      </c>
      <c r="S37" s="3541"/>
      <c r="T37" s="3541"/>
      <c r="U37" s="3541"/>
      <c r="V37" s="3541"/>
      <c r="W37" s="3541"/>
      <c r="X37" s="1554"/>
      <c r="Y37" s="1554"/>
      <c r="Z37" s="1554"/>
      <c r="AA37" s="1554"/>
      <c r="AB37" s="1554"/>
      <c r="AC37" s="1554"/>
    </row>
    <row r="38" spans="1:29">
      <c r="A38" s="2140"/>
      <c r="B38" s="2140"/>
      <c r="C38" s="2140"/>
      <c r="D38" s="2140"/>
      <c r="E38" s="2140"/>
      <c r="F38" s="2140"/>
      <c r="G38" s="2143"/>
      <c r="H38" s="2140"/>
      <c r="I38" s="2140"/>
      <c r="J38" s="2140"/>
      <c r="K38" s="2144"/>
      <c r="L38" s="2145"/>
      <c r="M38" s="2140"/>
      <c r="N38" s="2140"/>
      <c r="O38" s="2140"/>
      <c r="P38" s="2140"/>
      <c r="Q38" s="2140"/>
      <c r="R38" s="2140"/>
      <c r="S38" s="2140"/>
      <c r="T38" s="2140"/>
      <c r="U38" s="2140"/>
      <c r="V38" s="2140"/>
      <c r="W38" s="2140"/>
      <c r="X38" s="2140"/>
      <c r="Y38" s="2140"/>
      <c r="Z38" s="2140"/>
      <c r="AA38" s="2140"/>
      <c r="AB38" s="2140"/>
      <c r="AC38" s="2140"/>
    </row>
    <row r="39" spans="1:29">
      <c r="A39" s="2140"/>
      <c r="B39" s="2140"/>
      <c r="C39" s="2140"/>
      <c r="D39" s="2140"/>
      <c r="E39" s="2140"/>
      <c r="F39" s="2140"/>
      <c r="G39" s="2140"/>
      <c r="H39" s="2140"/>
      <c r="I39" s="2140"/>
      <c r="J39" s="2140"/>
      <c r="K39" s="2144"/>
      <c r="L39" s="2145"/>
      <c r="M39" s="2140"/>
      <c r="N39" s="2140"/>
      <c r="O39" s="2140"/>
      <c r="P39" s="2140"/>
      <c r="Q39" s="2140"/>
      <c r="R39" s="2140"/>
      <c r="S39" s="2140"/>
      <c r="T39" s="2140"/>
      <c r="U39" s="2140"/>
      <c r="V39" s="2140"/>
      <c r="W39" s="2140"/>
      <c r="X39" s="2140"/>
      <c r="Y39" s="2140"/>
      <c r="Z39" s="2140"/>
      <c r="AA39" s="2140"/>
      <c r="AB39" s="2140"/>
      <c r="AC39" s="2140"/>
    </row>
    <row r="40" spans="1:29" ht="13.5" customHeight="1">
      <c r="A40" s="2140"/>
      <c r="B40" s="2140"/>
      <c r="C40" s="620" t="s">
        <v>551</v>
      </c>
      <c r="D40" s="621"/>
      <c r="E40" s="622" t="e">
        <f>IF(E35&lt;E36,E36/E35-1,E35/E36-1)</f>
        <v>#DIV/0!</v>
      </c>
      <c r="F40" s="623" t="e">
        <f>IF(OR(E40&gt;=0.3,E40&lt;=-0.3),"超过30%","")</f>
        <v>#DIV/0!</v>
      </c>
      <c r="G40" s="622" t="e">
        <f>IF(G35&lt;G36,G36/G35-1,G35/G36-1)</f>
        <v>#DIV/0!</v>
      </c>
      <c r="H40" s="623" t="e">
        <f>IF(OR(G40&gt;=0.3,G40&lt;=-0.3),"超过30%","")</f>
        <v>#DIV/0!</v>
      </c>
      <c r="I40" s="622" t="e">
        <f>IF(I35&lt;I36,I36/I35-1,I35/I36-1)</f>
        <v>#DIV/0!</v>
      </c>
      <c r="J40" s="623" t="e">
        <f>IF(OR(I40&gt;=0.3,I40&lt;=-0.3),"超过30%","")</f>
        <v>#DIV/0!</v>
      </c>
      <c r="K40" s="2144"/>
      <c r="L40" s="2145"/>
      <c r="M40" s="2140"/>
      <c r="N40" s="2140"/>
      <c r="O40" s="2140"/>
      <c r="P40" s="2140"/>
      <c r="Q40" s="2140"/>
      <c r="R40" s="2140"/>
      <c r="S40" s="2140"/>
      <c r="T40" s="2140"/>
      <c r="U40" s="2140"/>
      <c r="V40" s="2140"/>
      <c r="W40" s="2140"/>
      <c r="X40" s="2140"/>
      <c r="Y40" s="2140"/>
      <c r="Z40" s="2140"/>
      <c r="AA40" s="2140"/>
      <c r="AB40" s="2140"/>
      <c r="AC40" s="2140"/>
    </row>
    <row r="41" spans="1:29" ht="13.5" customHeight="1">
      <c r="A41" s="2140"/>
      <c r="B41" s="2140"/>
      <c r="C41" s="620" t="s">
        <v>552</v>
      </c>
      <c r="D41" s="624"/>
      <c r="E41" s="622" t="e">
        <f>IF(E36&lt;G36,G36/E36-1,E36/G36-1)</f>
        <v>#DIV/0!</v>
      </c>
      <c r="F41" s="623" t="e">
        <f>IF(OR(E41&gt;=0.2,E41&lt;=-0.2),"超过20%","")</f>
        <v>#DIV/0!</v>
      </c>
      <c r="G41" s="622" t="e">
        <f>IF(G36&lt;I36,I36/G36-1,G36/I36-1)</f>
        <v>#DIV/0!</v>
      </c>
      <c r="H41" s="623" t="e">
        <f>IF(OR(G41&gt;=0.2,G41&lt;=-0.2),"超过20%","")</f>
        <v>#DIV/0!</v>
      </c>
      <c r="I41" s="622" t="e">
        <f>IF(I36&lt;E36,E36/I36-1,I36/E36-1)</f>
        <v>#DIV/0!</v>
      </c>
      <c r="J41" s="623" t="e">
        <f>IF(OR(I41&gt;=0.2,I41&lt;=-0.2),"超过20%","")</f>
        <v>#DIV/0!</v>
      </c>
      <c r="K41" s="2144"/>
      <c r="L41" s="2145"/>
      <c r="M41" s="2140"/>
      <c r="N41" s="2140"/>
      <c r="O41" s="2140"/>
      <c r="P41" s="2140"/>
      <c r="Q41" s="2140"/>
      <c r="R41" s="2140"/>
      <c r="S41" s="2140"/>
      <c r="T41" s="2140"/>
      <c r="U41" s="2140"/>
      <c r="V41" s="2140"/>
      <c r="W41" s="2140"/>
      <c r="X41" s="2140"/>
      <c r="Y41" s="2140"/>
      <c r="Z41" s="2140"/>
      <c r="AA41" s="2140"/>
      <c r="AB41" s="2140"/>
      <c r="AC41" s="2140"/>
    </row>
    <row r="42" spans="1:29" s="1340" customFormat="1" ht="13.5" customHeight="1">
      <c r="A42" s="2141"/>
      <c r="B42" s="2141"/>
      <c r="C42" s="620" t="s">
        <v>553</v>
      </c>
      <c r="D42" s="624"/>
      <c r="E42" s="622" t="e">
        <f>IF(E35&lt;G35,G35/E35-1,E35/G35-1)</f>
        <v>#DIV/0!</v>
      </c>
      <c r="F42" s="623" t="e">
        <f>IF(OR(E42&gt;=0.3,E42&lt;=-0.3),"超过30%","")</f>
        <v>#DIV/0!</v>
      </c>
      <c r="G42" s="622" t="e">
        <f>IF(G35&lt;I35,I35/G35-1,G35/I35-1)</f>
        <v>#DIV/0!</v>
      </c>
      <c r="H42" s="623" t="e">
        <f>IF(OR(G42&gt;=0.3,G42&lt;=-0.3),"超过30%","")</f>
        <v>#DIV/0!</v>
      </c>
      <c r="I42" s="622" t="e">
        <f>IF(I35&lt;E35,E35/I35-1,I35/E35-1)</f>
        <v>#DIV/0!</v>
      </c>
      <c r="J42" s="623" t="e">
        <f>IF(OR(I42&gt;=0.3,I42&lt;=-0.3),"超过30%","")</f>
        <v>#DIV/0!</v>
      </c>
      <c r="K42" s="2147"/>
      <c r="L42" s="2148"/>
      <c r="M42" s="2141"/>
      <c r="N42" s="2141"/>
      <c r="O42" s="2141"/>
      <c r="P42" s="2141"/>
      <c r="Q42" s="2141"/>
      <c r="R42" s="2141"/>
      <c r="S42" s="2141"/>
      <c r="T42" s="2141"/>
      <c r="U42" s="2141"/>
      <c r="V42" s="2141"/>
      <c r="W42" s="2141"/>
      <c r="X42" s="2141"/>
      <c r="Y42" s="2141"/>
      <c r="Z42" s="2141"/>
      <c r="AA42" s="2141"/>
      <c r="AB42" s="2141"/>
      <c r="AC42" s="2141"/>
    </row>
    <row r="43" spans="1:29" s="1340" customFormat="1">
      <c r="A43" s="2141"/>
      <c r="B43" s="2142"/>
      <c r="C43" s="2146"/>
      <c r="D43" s="2141"/>
      <c r="E43" s="2141"/>
      <c r="F43" s="2141"/>
      <c r="G43" s="2141"/>
      <c r="H43" s="2141"/>
      <c r="I43" s="2141"/>
      <c r="J43" s="2141"/>
      <c r="K43" s="2147"/>
      <c r="L43" s="2148"/>
      <c r="M43" s="2141"/>
      <c r="N43" s="2141"/>
      <c r="O43" s="2141"/>
      <c r="P43" s="2141"/>
      <c r="Q43" s="2141"/>
      <c r="R43" s="2141"/>
      <c r="S43" s="2141"/>
      <c r="T43" s="2141"/>
      <c r="U43" s="2141"/>
      <c r="V43" s="2141"/>
      <c r="W43" s="2141"/>
      <c r="X43" s="2141"/>
      <c r="Y43" s="2141"/>
      <c r="Z43" s="2141"/>
      <c r="AA43" s="2141"/>
      <c r="AB43" s="2141"/>
      <c r="AC43" s="2141"/>
    </row>
    <row r="44" spans="1:29">
      <c r="A44" s="2140"/>
      <c r="B44" s="2142"/>
      <c r="C44" s="2146"/>
      <c r="D44" s="2140"/>
      <c r="E44" s="2140"/>
      <c r="F44" s="2140"/>
      <c r="G44" s="2140"/>
      <c r="H44" s="2140"/>
      <c r="I44" s="2140"/>
      <c r="J44" s="2140"/>
      <c r="K44" s="2144"/>
      <c r="L44" s="2145"/>
      <c r="M44" s="2140"/>
      <c r="N44" s="2140"/>
      <c r="O44" s="2140"/>
      <c r="P44" s="2140"/>
      <c r="Q44" s="2140"/>
      <c r="R44" s="2140"/>
      <c r="S44" s="2140"/>
      <c r="T44" s="2140"/>
      <c r="U44" s="2140"/>
      <c r="V44" s="2140"/>
      <c r="W44" s="2140"/>
      <c r="X44" s="2140"/>
      <c r="Y44" s="2140"/>
      <c r="Z44" s="2140"/>
      <c r="AA44" s="2140"/>
      <c r="AB44" s="2140"/>
      <c r="AC44" s="2140"/>
    </row>
    <row r="45" spans="1:29" ht="21.75" thickBot="1">
      <c r="A45" s="1579" t="s">
        <v>568</v>
      </c>
      <c r="B45" s="1554"/>
      <c r="C45" s="1578"/>
      <c r="D45" s="1578"/>
      <c r="E45" s="1578"/>
      <c r="F45" s="1580"/>
      <c r="G45" s="1580"/>
      <c r="H45" s="1578"/>
      <c r="I45" s="1578"/>
      <c r="J45" s="1578"/>
      <c r="K45" s="1581"/>
      <c r="L45" s="1577"/>
      <c r="M45" s="1578"/>
      <c r="N45" s="1578"/>
      <c r="O45" s="1578"/>
      <c r="P45" s="2152"/>
      <c r="Q45" s="2153"/>
      <c r="R45" s="2140"/>
      <c r="S45" s="2140"/>
      <c r="T45" s="2140"/>
      <c r="U45" s="2140"/>
      <c r="V45" s="2140"/>
      <c r="W45" s="2140"/>
      <c r="X45" s="2140"/>
      <c r="Y45" s="2140"/>
      <c r="Z45" s="2140"/>
      <c r="AA45" s="2140"/>
      <c r="AB45" s="2140"/>
      <c r="AC45" s="2140"/>
    </row>
    <row r="46" spans="1:29" s="1342" customFormat="1" ht="15">
      <c r="A46" s="641" t="s">
        <v>523</v>
      </c>
      <c r="B46" s="642"/>
      <c r="C46" s="2823" t="str">
        <f>YEAR(C7)&amp;"-"&amp;MONTH(C7)</f>
        <v>2017-10</v>
      </c>
      <c r="D46" s="2825">
        <f>EDATE(C46,-1)</f>
        <v>42979</v>
      </c>
      <c r="E46" s="2825">
        <f t="shared" ref="E46:O46" si="16">EDATE(D46,-1)</f>
        <v>42948</v>
      </c>
      <c r="F46" s="2825">
        <f t="shared" si="16"/>
        <v>42917</v>
      </c>
      <c r="G46" s="2825">
        <f t="shared" si="16"/>
        <v>42887</v>
      </c>
      <c r="H46" s="2825">
        <f t="shared" si="16"/>
        <v>42856</v>
      </c>
      <c r="I46" s="2825">
        <f t="shared" si="16"/>
        <v>42826</v>
      </c>
      <c r="J46" s="2825">
        <f t="shared" si="16"/>
        <v>42795</v>
      </c>
      <c r="K46" s="2825">
        <f t="shared" si="16"/>
        <v>42767</v>
      </c>
      <c r="L46" s="2825">
        <f t="shared" si="16"/>
        <v>42736</v>
      </c>
      <c r="M46" s="2825">
        <f t="shared" si="16"/>
        <v>42705</v>
      </c>
      <c r="N46" s="2825">
        <f t="shared" si="16"/>
        <v>42675</v>
      </c>
      <c r="O46" s="2825">
        <f t="shared" si="16"/>
        <v>42644</v>
      </c>
      <c r="P46" s="2155"/>
      <c r="Q46" s="2156"/>
      <c r="R46" s="2156"/>
      <c r="S46" s="2156"/>
      <c r="T46" s="2156"/>
      <c r="U46" s="2156"/>
      <c r="V46" s="2156"/>
      <c r="W46" s="2156"/>
      <c r="X46" s="2156"/>
      <c r="Y46" s="2156"/>
      <c r="Z46" s="2156"/>
      <c r="AA46" s="2156"/>
      <c r="AB46" s="2156"/>
      <c r="AC46" s="2156"/>
    </row>
    <row r="47" spans="1:29" s="1215" customFormat="1" ht="15">
      <c r="A47" s="643"/>
      <c r="B47" s="644"/>
      <c r="C47" s="645">
        <v>100</v>
      </c>
      <c r="D47" s="646"/>
      <c r="E47" s="646"/>
      <c r="F47" s="646"/>
      <c r="G47" s="646"/>
      <c r="H47" s="646"/>
      <c r="I47" s="646"/>
      <c r="J47" s="646"/>
      <c r="K47" s="646"/>
      <c r="L47" s="646"/>
      <c r="M47" s="647"/>
      <c r="N47" s="646"/>
      <c r="O47" s="648"/>
      <c r="P47" s="2153"/>
      <c r="Q47" s="1988"/>
      <c r="R47" s="1988"/>
      <c r="S47" s="1988"/>
      <c r="T47" s="1988"/>
      <c r="U47" s="1988"/>
      <c r="V47" s="1988"/>
      <c r="W47" s="1988"/>
      <c r="X47" s="1988"/>
      <c r="Y47" s="1988"/>
      <c r="Z47" s="1988"/>
      <c r="AA47" s="1988"/>
      <c r="AB47" s="1988"/>
      <c r="AC47" s="1988"/>
    </row>
    <row r="48" spans="1:29" s="1215" customFormat="1" ht="15.75" thickBot="1">
      <c r="A48" s="649" t="s">
        <v>569</v>
      </c>
      <c r="B48" s="650"/>
      <c r="C48" s="651"/>
      <c r="D48" s="652"/>
      <c r="E48" s="652"/>
      <c r="F48" s="652"/>
      <c r="G48" s="652"/>
      <c r="H48" s="652"/>
      <c r="I48" s="652"/>
      <c r="J48" s="652"/>
      <c r="K48" s="652"/>
      <c r="L48" s="652"/>
      <c r="M48" s="653"/>
      <c r="N48" s="652"/>
      <c r="O48" s="654"/>
      <c r="P48" s="2153"/>
      <c r="Q48" s="2153"/>
      <c r="R48" s="1988"/>
      <c r="S48" s="1988"/>
      <c r="T48" s="1988"/>
      <c r="U48" s="1988"/>
      <c r="V48" s="1988"/>
      <c r="W48" s="1988"/>
      <c r="X48" s="1988"/>
      <c r="Y48" s="1988"/>
      <c r="Z48" s="1988"/>
      <c r="AA48" s="1988"/>
      <c r="AB48" s="1988"/>
      <c r="AC48" s="1988"/>
    </row>
    <row r="49" spans="1:29" s="1215" customFormat="1" ht="15">
      <c r="A49" s="655" t="s">
        <v>525</v>
      </c>
      <c r="B49" s="644"/>
      <c r="C49" s="656" t="s">
        <v>570</v>
      </c>
      <c r="D49" s="657"/>
      <c r="E49" s="657"/>
      <c r="F49" s="657"/>
      <c r="G49" s="657"/>
      <c r="H49" s="657"/>
      <c r="I49" s="657"/>
      <c r="J49" s="657"/>
      <c r="K49" s="657"/>
      <c r="L49" s="658"/>
      <c r="M49" s="659"/>
      <c r="N49" s="2157"/>
      <c r="O49" s="2157"/>
      <c r="P49" s="2158"/>
      <c r="Q49" s="2153"/>
      <c r="R49" s="1988"/>
      <c r="S49" s="1988"/>
      <c r="T49" s="1988"/>
      <c r="U49" s="1988"/>
      <c r="V49" s="1988"/>
      <c r="W49" s="1988"/>
      <c r="X49" s="1988"/>
      <c r="Y49" s="1988"/>
      <c r="Z49" s="1988"/>
      <c r="AA49" s="1988"/>
      <c r="AB49" s="1988"/>
      <c r="AC49" s="1988"/>
    </row>
    <row r="50" spans="1:29" s="1215" customFormat="1" ht="15.75" thickBot="1">
      <c r="A50" s="655"/>
      <c r="B50" s="644"/>
      <c r="C50" s="645">
        <v>100</v>
      </c>
      <c r="D50" s="646"/>
      <c r="E50" s="646"/>
      <c r="F50" s="646"/>
      <c r="G50" s="646"/>
      <c r="H50" s="646"/>
      <c r="I50" s="646"/>
      <c r="J50" s="646"/>
      <c r="K50" s="646"/>
      <c r="L50" s="646"/>
      <c r="M50" s="648"/>
      <c r="N50" s="2157"/>
      <c r="O50" s="2157"/>
      <c r="P50" s="2153"/>
      <c r="Q50" s="2153"/>
      <c r="R50" s="1988"/>
      <c r="S50" s="1988"/>
      <c r="T50" s="1988"/>
      <c r="U50" s="1988"/>
      <c r="V50" s="1988"/>
      <c r="W50" s="1988"/>
      <c r="X50" s="1988"/>
      <c r="Y50" s="1988"/>
      <c r="Z50" s="1988"/>
      <c r="AA50" s="1988"/>
      <c r="AB50" s="1988"/>
      <c r="AC50" s="1988"/>
    </row>
    <row r="51" spans="1:29">
      <c r="A51" s="660" t="s">
        <v>571</v>
      </c>
      <c r="B51" s="661" t="s">
        <v>528</v>
      </c>
      <c r="C51" s="700">
        <f>C9</f>
        <v>0</v>
      </c>
      <c r="D51" s="594"/>
      <c r="E51" s="594"/>
      <c r="F51" s="594"/>
      <c r="G51" s="594"/>
      <c r="H51" s="594"/>
      <c r="I51" s="594"/>
      <c r="J51" s="594"/>
      <c r="K51" s="662"/>
      <c r="L51" s="663"/>
      <c r="M51" s="664"/>
      <c r="N51" s="2159"/>
      <c r="O51" s="2159"/>
      <c r="P51" s="2160"/>
      <c r="Q51" s="2153"/>
      <c r="R51" s="2140"/>
      <c r="S51" s="2140"/>
      <c r="T51" s="2140"/>
      <c r="U51" s="2140"/>
      <c r="V51" s="2140"/>
      <c r="W51" s="2140"/>
      <c r="X51" s="2140"/>
      <c r="Y51" s="2140"/>
      <c r="Z51" s="2140"/>
      <c r="AA51" s="2140"/>
      <c r="AB51" s="2140"/>
      <c r="AC51" s="2140"/>
    </row>
    <row r="52" spans="1:29" ht="15.75" thickBot="1">
      <c r="A52" s="665"/>
      <c r="B52" s="666"/>
      <c r="C52" s="667">
        <v>100</v>
      </c>
      <c r="D52" s="667"/>
      <c r="E52" s="667"/>
      <c r="F52" s="667"/>
      <c r="G52" s="667"/>
      <c r="H52" s="667"/>
      <c r="I52" s="667"/>
      <c r="J52" s="667"/>
      <c r="K52" s="667"/>
      <c r="L52" s="667"/>
      <c r="M52" s="668"/>
      <c r="N52" s="2161"/>
      <c r="O52" s="2161"/>
      <c r="P52" s="2160"/>
      <c r="Q52" s="2153"/>
      <c r="R52" s="2140"/>
      <c r="S52" s="2140"/>
      <c r="T52" s="2140"/>
      <c r="U52" s="2140"/>
      <c r="V52" s="2140"/>
      <c r="W52" s="2140"/>
      <c r="X52" s="2140"/>
      <c r="Y52" s="2140"/>
      <c r="Z52" s="2140"/>
      <c r="AA52" s="2140"/>
      <c r="AB52" s="2140"/>
      <c r="AC52" s="2140"/>
    </row>
    <row r="53" spans="1:29" ht="27.75" thickTop="1">
      <c r="A53" s="665"/>
      <c r="B53" s="669" t="s">
        <v>531</v>
      </c>
      <c r="C53" s="670" t="s">
        <v>730</v>
      </c>
      <c r="D53" s="670" t="s">
        <v>731</v>
      </c>
      <c r="E53" s="670" t="s">
        <v>732</v>
      </c>
      <c r="F53" s="670" t="s">
        <v>733</v>
      </c>
      <c r="G53" s="670" t="s">
        <v>734</v>
      </c>
      <c r="H53" s="670" t="s">
        <v>735</v>
      </c>
      <c r="I53" s="670" t="s">
        <v>736</v>
      </c>
      <c r="J53" s="670"/>
      <c r="K53" s="671"/>
      <c r="L53" s="672"/>
      <c r="M53" s="673"/>
      <c r="N53" s="2159"/>
      <c r="O53" s="2159"/>
      <c r="P53" s="2160"/>
      <c r="Q53" s="2153"/>
      <c r="R53" s="2140"/>
      <c r="S53" s="2140"/>
      <c r="T53" s="2140"/>
      <c r="U53" s="2140"/>
      <c r="V53" s="2140"/>
      <c r="W53" s="2140"/>
      <c r="X53" s="2140"/>
      <c r="Y53" s="2140"/>
      <c r="Z53" s="2140"/>
      <c r="AA53" s="2140"/>
      <c r="AB53" s="2140"/>
      <c r="AC53" s="2140"/>
    </row>
    <row r="54" spans="1:29" ht="15.75" thickBot="1">
      <c r="A54" s="665"/>
      <c r="B54" s="674"/>
      <c r="C54" s="675" t="s">
        <v>14</v>
      </c>
      <c r="D54" s="675" t="s">
        <v>15</v>
      </c>
      <c r="E54" s="675">
        <v>100</v>
      </c>
      <c r="F54" s="675">
        <f>E54-$K10</f>
        <v>100</v>
      </c>
      <c r="G54" s="675">
        <f>F54-$K10</f>
        <v>100</v>
      </c>
      <c r="H54" s="675">
        <f>G54-$K10</f>
        <v>100</v>
      </c>
      <c r="I54" s="675">
        <f>H54-$K10</f>
        <v>100</v>
      </c>
      <c r="J54" s="675"/>
      <c r="K54" s="675"/>
      <c r="L54" s="675"/>
      <c r="M54" s="676"/>
      <c r="N54" s="2161"/>
      <c r="O54" s="2161"/>
      <c r="P54" s="2160"/>
      <c r="Q54" s="2153"/>
      <c r="R54" s="2140"/>
      <c r="S54" s="2140"/>
      <c r="T54" s="2140"/>
      <c r="U54" s="2140"/>
      <c r="V54" s="2140"/>
      <c r="W54" s="2140"/>
      <c r="X54" s="2140"/>
      <c r="Y54" s="2140"/>
      <c r="Z54" s="2140"/>
      <c r="AA54" s="2140"/>
      <c r="AB54" s="2140"/>
      <c r="AC54" s="2140"/>
    </row>
    <row r="55" spans="1:29" ht="15.75" thickTop="1">
      <c r="A55" s="665"/>
      <c r="B55" s="930">
        <f>B11</f>
        <v>111</v>
      </c>
      <c r="C55" s="537"/>
      <c r="D55" s="537"/>
      <c r="E55" s="537"/>
      <c r="F55" s="537"/>
      <c r="G55" s="537"/>
      <c r="H55" s="537"/>
      <c r="I55" s="537"/>
      <c r="J55" s="537"/>
      <c r="K55" s="680"/>
      <c r="L55" s="681"/>
      <c r="M55" s="682"/>
      <c r="N55" s="2159"/>
      <c r="O55" s="2159"/>
      <c r="P55" s="2160"/>
      <c r="Q55" s="2153"/>
      <c r="R55" s="2140"/>
      <c r="S55" s="2140"/>
      <c r="T55" s="2140"/>
      <c r="U55" s="2140"/>
      <c r="V55" s="2140"/>
      <c r="W55" s="2140"/>
      <c r="X55" s="2140"/>
      <c r="Y55" s="2140"/>
      <c r="Z55" s="2140"/>
      <c r="AA55" s="2140"/>
      <c r="AB55" s="2140"/>
      <c r="AC55" s="2140"/>
    </row>
    <row r="56" spans="1:29" ht="15.75" thickBot="1">
      <c r="A56" s="665"/>
      <c r="B56" s="666"/>
      <c r="C56" s="688"/>
      <c r="D56" s="667"/>
      <c r="E56" s="667"/>
      <c r="F56" s="667"/>
      <c r="G56" s="667"/>
      <c r="H56" s="667"/>
      <c r="I56" s="667"/>
      <c r="J56" s="667"/>
      <c r="K56" s="667"/>
      <c r="L56" s="667"/>
      <c r="M56" s="668"/>
      <c r="N56" s="2161"/>
      <c r="O56" s="2161"/>
      <c r="P56" s="2160"/>
      <c r="Q56" s="2153"/>
      <c r="R56" s="2140"/>
      <c r="S56" s="2140"/>
      <c r="T56" s="2140"/>
      <c r="U56" s="2140"/>
      <c r="V56" s="2140"/>
      <c r="W56" s="2140"/>
      <c r="X56" s="2140"/>
      <c r="Y56" s="2140"/>
      <c r="Z56" s="2140"/>
      <c r="AA56" s="2140"/>
      <c r="AB56" s="2140"/>
      <c r="AC56" s="2140"/>
    </row>
    <row r="57" spans="1:29" s="1334" customFormat="1" ht="15.75" thickTop="1">
      <c r="A57" s="683"/>
      <c r="B57" s="669">
        <f>B12</f>
        <v>111</v>
      </c>
      <c r="C57" s="537"/>
      <c r="D57" s="537"/>
      <c r="E57" s="537"/>
      <c r="F57" s="537"/>
      <c r="G57" s="684"/>
      <c r="H57" s="685"/>
      <c r="I57" s="685"/>
      <c r="J57" s="685"/>
      <c r="K57" s="685"/>
      <c r="L57" s="686"/>
      <c r="M57" s="687"/>
      <c r="N57" s="2162"/>
      <c r="O57" s="2162"/>
      <c r="P57" s="2163"/>
      <c r="Q57" s="2164"/>
      <c r="R57" s="2165"/>
      <c r="S57" s="2165"/>
      <c r="T57" s="2165"/>
      <c r="U57" s="2165"/>
      <c r="V57" s="2165"/>
      <c r="W57" s="2165"/>
      <c r="X57" s="2165"/>
      <c r="Y57" s="2165"/>
      <c r="Z57" s="2165"/>
      <c r="AA57" s="2165"/>
      <c r="AB57" s="2165"/>
      <c r="AC57" s="2165"/>
    </row>
    <row r="58" spans="1:29" s="1334" customFormat="1" ht="15.75" thickBot="1">
      <c r="A58" s="683"/>
      <c r="B58" s="674"/>
      <c r="C58" s="688"/>
      <c r="D58" s="667"/>
      <c r="E58" s="667"/>
      <c r="F58" s="667"/>
      <c r="G58" s="667"/>
      <c r="H58" s="667"/>
      <c r="I58" s="667"/>
      <c r="J58" s="667"/>
      <c r="K58" s="667"/>
      <c r="L58" s="667"/>
      <c r="M58" s="668"/>
      <c r="N58" s="2161"/>
      <c r="O58" s="2161"/>
      <c r="P58" s="2163"/>
      <c r="Q58" s="2164"/>
      <c r="R58" s="2165"/>
      <c r="S58" s="2165"/>
      <c r="T58" s="2165"/>
      <c r="U58" s="2165"/>
      <c r="V58" s="2165"/>
      <c r="W58" s="2165"/>
      <c r="X58" s="2165"/>
      <c r="Y58" s="2165"/>
      <c r="Z58" s="2165"/>
      <c r="AA58" s="2165"/>
      <c r="AB58" s="2165"/>
      <c r="AC58" s="2165"/>
    </row>
    <row r="59" spans="1:29" s="1334" customFormat="1" ht="15.75" thickTop="1">
      <c r="A59" s="683"/>
      <c r="B59" s="669">
        <f>B13</f>
        <v>111</v>
      </c>
      <c r="C59" s="537"/>
      <c r="D59" s="537"/>
      <c r="E59" s="537"/>
      <c r="F59" s="537"/>
      <c r="G59" s="684"/>
      <c r="H59" s="685"/>
      <c r="I59" s="685"/>
      <c r="J59" s="685"/>
      <c r="K59" s="685"/>
      <c r="L59" s="686"/>
      <c r="M59" s="687"/>
      <c r="N59" s="2162"/>
      <c r="O59" s="2162"/>
      <c r="P59" s="2166"/>
      <c r="Q59" s="2167"/>
      <c r="R59" s="2165"/>
      <c r="S59" s="2165"/>
      <c r="T59" s="2165"/>
      <c r="U59" s="2165"/>
      <c r="V59" s="2165"/>
      <c r="W59" s="2165"/>
      <c r="X59" s="2165"/>
      <c r="Y59" s="2165"/>
      <c r="Z59" s="2165"/>
      <c r="AA59" s="2165"/>
      <c r="AB59" s="2165"/>
      <c r="AC59" s="2165"/>
    </row>
    <row r="60" spans="1:29" s="1334" customFormat="1" ht="15.75" thickBot="1">
      <c r="A60" s="683"/>
      <c r="B60" s="674"/>
      <c r="C60" s="688"/>
      <c r="D60" s="688"/>
      <c r="E60" s="688"/>
      <c r="F60" s="688"/>
      <c r="G60" s="688"/>
      <c r="H60" s="689"/>
      <c r="I60" s="689"/>
      <c r="J60" s="689"/>
      <c r="K60" s="689"/>
      <c r="L60" s="689"/>
      <c r="M60" s="690"/>
      <c r="N60" s="2162"/>
      <c r="O60" s="2162"/>
      <c r="P60" s="2163"/>
      <c r="Q60" s="2164"/>
      <c r="R60" s="2165"/>
      <c r="S60" s="2165"/>
      <c r="T60" s="2165"/>
      <c r="U60" s="2165"/>
      <c r="V60" s="2165"/>
      <c r="W60" s="2165"/>
      <c r="X60" s="2165"/>
      <c r="Y60" s="2165"/>
      <c r="Z60" s="2165"/>
      <c r="AA60" s="2165"/>
      <c r="AB60" s="2165"/>
      <c r="AC60" s="2165"/>
    </row>
    <row r="61" spans="1:29" ht="15" thickTop="1">
      <c r="A61" s="660" t="s">
        <v>533</v>
      </c>
      <c r="B61" s="661" t="s">
        <v>580</v>
      </c>
      <c r="C61" s="699" t="s">
        <v>573</v>
      </c>
      <c r="D61" s="699" t="s">
        <v>574</v>
      </c>
      <c r="E61" s="699" t="s">
        <v>575</v>
      </c>
      <c r="F61" s="699" t="s">
        <v>576</v>
      </c>
      <c r="G61" s="699" t="s">
        <v>577</v>
      </c>
      <c r="H61" s="700"/>
      <c r="I61" s="700"/>
      <c r="J61" s="700"/>
      <c r="K61" s="701"/>
      <c r="L61" s="702"/>
      <c r="M61" s="703"/>
      <c r="N61" s="2159"/>
      <c r="O61" s="2159"/>
      <c r="P61" s="2169"/>
      <c r="Q61" s="2153"/>
      <c r="R61" s="2140"/>
      <c r="S61" s="2140"/>
      <c r="T61" s="2140"/>
      <c r="U61" s="2140"/>
      <c r="V61" s="2140"/>
      <c r="W61" s="2140"/>
      <c r="X61" s="2140"/>
      <c r="Y61" s="2140"/>
      <c r="Z61" s="2140"/>
      <c r="AA61" s="2140"/>
      <c r="AB61" s="2140"/>
      <c r="AC61" s="2140"/>
    </row>
    <row r="62" spans="1:29" ht="15.75" thickBot="1">
      <c r="A62" s="665"/>
      <c r="B62" s="674"/>
      <c r="C62" s="675">
        <v>100</v>
      </c>
      <c r="D62" s="675">
        <f>C62-$K14</f>
        <v>100</v>
      </c>
      <c r="E62" s="675">
        <f>D62-$K14</f>
        <v>100</v>
      </c>
      <c r="F62" s="675">
        <f>E62-$K14</f>
        <v>100</v>
      </c>
      <c r="G62" s="675">
        <f>F62-$K14</f>
        <v>100</v>
      </c>
      <c r="H62" s="675"/>
      <c r="I62" s="675"/>
      <c r="J62" s="675"/>
      <c r="K62" s="675"/>
      <c r="L62" s="675"/>
      <c r="M62" s="676"/>
      <c r="N62" s="2161"/>
      <c r="O62" s="2161"/>
      <c r="P62" s="2160"/>
      <c r="Q62" s="2153"/>
      <c r="R62" s="2140"/>
      <c r="S62" s="2140"/>
      <c r="T62" s="2140"/>
      <c r="U62" s="2140"/>
      <c r="V62" s="2140"/>
      <c r="W62" s="2140"/>
      <c r="X62" s="2140"/>
      <c r="Y62" s="2140"/>
      <c r="Z62" s="2140"/>
      <c r="AA62" s="2140"/>
      <c r="AB62" s="2140"/>
      <c r="AC62" s="2140"/>
    </row>
    <row r="63" spans="1:29" ht="15.75" thickTop="1">
      <c r="A63" s="665"/>
      <c r="B63" s="1891" t="s">
        <v>2554</v>
      </c>
      <c r="C63" s="704" t="s">
        <v>573</v>
      </c>
      <c r="D63" s="704" t="s">
        <v>574</v>
      </c>
      <c r="E63" s="704" t="s">
        <v>575</v>
      </c>
      <c r="F63" s="704" t="s">
        <v>576</v>
      </c>
      <c r="G63" s="704" t="s">
        <v>577</v>
      </c>
      <c r="H63" s="670"/>
      <c r="I63" s="670"/>
      <c r="J63" s="670"/>
      <c r="K63" s="671"/>
      <c r="L63" s="672"/>
      <c r="M63" s="673"/>
      <c r="N63" s="2159"/>
      <c r="O63" s="2159"/>
      <c r="P63" s="2160"/>
      <c r="Q63" s="2153"/>
      <c r="R63" s="2140"/>
      <c r="S63" s="2140"/>
      <c r="T63" s="2140"/>
      <c r="U63" s="2140"/>
      <c r="V63" s="2140"/>
      <c r="W63" s="2140"/>
      <c r="X63" s="2140"/>
      <c r="Y63" s="2140"/>
      <c r="Z63" s="2140"/>
      <c r="AA63" s="2140"/>
      <c r="AB63" s="2140"/>
      <c r="AC63" s="2140"/>
    </row>
    <row r="64" spans="1:29" ht="15.75" thickBot="1">
      <c r="A64" s="665"/>
      <c r="B64" s="674"/>
      <c r="C64" s="675">
        <v>100</v>
      </c>
      <c r="D64" s="675">
        <f>C64-$K16</f>
        <v>100</v>
      </c>
      <c r="E64" s="675">
        <f>D64-$K16</f>
        <v>100</v>
      </c>
      <c r="F64" s="675">
        <f>E64-$K16</f>
        <v>100</v>
      </c>
      <c r="G64" s="675">
        <f>F64-$K16</f>
        <v>100</v>
      </c>
      <c r="H64" s="675"/>
      <c r="I64" s="675"/>
      <c r="J64" s="675"/>
      <c r="K64" s="675"/>
      <c r="L64" s="675"/>
      <c r="M64" s="676"/>
      <c r="N64" s="2161"/>
      <c r="O64" s="2161"/>
      <c r="P64" s="2160"/>
      <c r="Q64" s="2153"/>
      <c r="R64" s="2140"/>
      <c r="S64" s="2140"/>
      <c r="T64" s="2140"/>
      <c r="U64" s="2140"/>
      <c r="V64" s="2140"/>
      <c r="W64" s="2140"/>
      <c r="X64" s="2140"/>
      <c r="Y64" s="2140"/>
      <c r="Z64" s="2140"/>
      <c r="AA64" s="2140"/>
      <c r="AB64" s="2140"/>
      <c r="AC64" s="2140"/>
    </row>
    <row r="65" spans="1:29" ht="15.75" thickTop="1">
      <c r="A65" s="665"/>
      <c r="B65" s="2616" t="s">
        <v>2555</v>
      </c>
      <c r="C65" s="2617" t="s">
        <v>2556</v>
      </c>
      <c r="D65" s="2617" t="s">
        <v>2557</v>
      </c>
      <c r="E65" s="2617" t="s">
        <v>2558</v>
      </c>
      <c r="F65" s="2617" t="s">
        <v>2559</v>
      </c>
      <c r="G65" s="2617" t="s">
        <v>2560</v>
      </c>
      <c r="H65" s="670"/>
      <c r="I65" s="670"/>
      <c r="J65" s="670"/>
      <c r="K65" s="670"/>
      <c r="L65" s="670"/>
      <c r="M65" s="2620"/>
      <c r="N65" s="2161"/>
      <c r="O65" s="2161"/>
      <c r="P65" s="2160"/>
      <c r="Q65" s="2153"/>
      <c r="R65" s="2140"/>
      <c r="S65" s="2140"/>
      <c r="T65" s="2140"/>
      <c r="U65" s="2140"/>
      <c r="V65" s="2140"/>
      <c r="W65" s="2140"/>
      <c r="X65" s="2140"/>
      <c r="Y65" s="2140"/>
      <c r="Z65" s="2140"/>
      <c r="AA65" s="2140"/>
      <c r="AB65" s="2140"/>
      <c r="AC65" s="2140"/>
    </row>
    <row r="66" spans="1:29" ht="15.75" thickBot="1">
      <c r="A66" s="665"/>
      <c r="B66" s="677"/>
      <c r="C66" s="675">
        <v>100</v>
      </c>
      <c r="D66" s="675">
        <f>C66-$K18</f>
        <v>100</v>
      </c>
      <c r="E66" s="675">
        <f>D66-$K18</f>
        <v>100</v>
      </c>
      <c r="F66" s="675">
        <f>E66-$K18</f>
        <v>100</v>
      </c>
      <c r="G66" s="675">
        <f>F66-$K18</f>
        <v>100</v>
      </c>
      <c r="H66" s="930"/>
      <c r="I66" s="930"/>
      <c r="J66" s="930"/>
      <c r="K66" s="930"/>
      <c r="L66" s="930"/>
      <c r="M66" s="555"/>
      <c r="N66" s="2161"/>
      <c r="O66" s="2161"/>
      <c r="P66" s="2160"/>
      <c r="Q66" s="2153"/>
      <c r="R66" s="2140"/>
      <c r="S66" s="2140"/>
      <c r="T66" s="2140"/>
      <c r="U66" s="2140"/>
      <c r="V66" s="2140"/>
      <c r="W66" s="2140"/>
      <c r="X66" s="2140"/>
      <c r="Y66" s="2140"/>
      <c r="Z66" s="2140"/>
      <c r="AA66" s="2140"/>
      <c r="AB66" s="2140"/>
      <c r="AC66" s="2140"/>
    </row>
    <row r="67" spans="1:29" ht="15.75" thickTop="1">
      <c r="A67" s="665"/>
      <c r="B67" s="669" t="s">
        <v>737</v>
      </c>
      <c r="C67" s="704" t="s">
        <v>573</v>
      </c>
      <c r="D67" s="704" t="s">
        <v>574</v>
      </c>
      <c r="E67" s="704" t="s">
        <v>575</v>
      </c>
      <c r="F67" s="704" t="s">
        <v>576</v>
      </c>
      <c r="G67" s="704" t="s">
        <v>577</v>
      </c>
      <c r="H67" s="670"/>
      <c r="I67" s="670"/>
      <c r="J67" s="670"/>
      <c r="K67" s="671"/>
      <c r="L67" s="672"/>
      <c r="M67" s="673"/>
      <c r="N67" s="2159"/>
      <c r="O67" s="2159"/>
      <c r="P67" s="2160"/>
      <c r="Q67" s="2153"/>
      <c r="R67" s="2140"/>
      <c r="S67" s="2140"/>
      <c r="T67" s="2140"/>
      <c r="U67" s="2140"/>
      <c r="V67" s="2140"/>
      <c r="W67" s="2140"/>
      <c r="X67" s="2140"/>
      <c r="Y67" s="2140"/>
      <c r="Z67" s="2140"/>
      <c r="AA67" s="2140"/>
      <c r="AB67" s="2140"/>
      <c r="AC67" s="2140"/>
    </row>
    <row r="68" spans="1:29" ht="15.75" thickBot="1">
      <c r="A68" s="665"/>
      <c r="B68" s="674"/>
      <c r="C68" s="675">
        <v>100</v>
      </c>
      <c r="D68" s="675">
        <f>C68-$K20</f>
        <v>100</v>
      </c>
      <c r="E68" s="675">
        <f>D68-$K20</f>
        <v>100</v>
      </c>
      <c r="F68" s="675">
        <f>E68-$K20</f>
        <v>100</v>
      </c>
      <c r="G68" s="675">
        <f>F68-$K20</f>
        <v>100</v>
      </c>
      <c r="H68" s="675"/>
      <c r="I68" s="675"/>
      <c r="J68" s="675"/>
      <c r="K68" s="675"/>
      <c r="L68" s="675"/>
      <c r="M68" s="676"/>
      <c r="N68" s="2161"/>
      <c r="O68" s="2161"/>
      <c r="P68" s="2160"/>
      <c r="Q68" s="2153"/>
      <c r="R68" s="2140"/>
      <c r="S68" s="2140"/>
      <c r="T68" s="2140"/>
      <c r="U68" s="2140"/>
      <c r="V68" s="2140"/>
      <c r="W68" s="2140"/>
      <c r="X68" s="2140"/>
      <c r="Y68" s="2140"/>
      <c r="Z68" s="2140"/>
      <c r="AA68" s="2140"/>
      <c r="AB68" s="2140"/>
      <c r="AC68" s="2140"/>
    </row>
    <row r="69" spans="1:29" ht="15.75" thickTop="1">
      <c r="A69" s="665"/>
      <c r="B69" s="669" t="s">
        <v>738</v>
      </c>
      <c r="C69" s="684"/>
      <c r="D69" s="684"/>
      <c r="E69" s="684"/>
      <c r="F69" s="684"/>
      <c r="G69" s="684"/>
      <c r="H69" s="714"/>
      <c r="I69" s="714"/>
      <c r="J69" s="714"/>
      <c r="K69" s="715"/>
      <c r="L69" s="716"/>
      <c r="M69" s="717"/>
      <c r="N69" s="2159"/>
      <c r="O69" s="2159"/>
      <c r="P69" s="2160"/>
      <c r="Q69" s="2153"/>
      <c r="R69" s="2140"/>
      <c r="S69" s="2140"/>
      <c r="T69" s="2140"/>
      <c r="U69" s="2140"/>
      <c r="V69" s="2140"/>
      <c r="W69" s="2140"/>
      <c r="X69" s="2140"/>
      <c r="Y69" s="2140"/>
      <c r="Z69" s="2140"/>
      <c r="AA69" s="2140"/>
      <c r="AB69" s="2140"/>
      <c r="AC69" s="2140"/>
    </row>
    <row r="70" spans="1:29" ht="15.75" thickBot="1">
      <c r="A70" s="665"/>
      <c r="B70" s="674"/>
      <c r="C70" s="675">
        <v>100</v>
      </c>
      <c r="D70" s="675">
        <f>C70-$K22</f>
        <v>100</v>
      </c>
      <c r="E70" s="675"/>
      <c r="F70" s="675"/>
      <c r="G70" s="675"/>
      <c r="H70" s="675"/>
      <c r="I70" s="675"/>
      <c r="J70" s="675"/>
      <c r="K70" s="675"/>
      <c r="L70" s="675"/>
      <c r="M70" s="676"/>
      <c r="N70" s="2161"/>
      <c r="O70" s="2161"/>
      <c r="P70" s="2160"/>
      <c r="Q70" s="2153"/>
      <c r="R70" s="2140"/>
      <c r="S70" s="2140"/>
      <c r="T70" s="2140"/>
      <c r="U70" s="2140"/>
      <c r="V70" s="2140"/>
      <c r="W70" s="2140"/>
      <c r="X70" s="2140"/>
      <c r="Y70" s="2140"/>
      <c r="Z70" s="2140"/>
      <c r="AA70" s="2140"/>
      <c r="AB70" s="2140"/>
      <c r="AC70" s="2140"/>
    </row>
    <row r="71" spans="1:29" s="1215" customFormat="1" ht="15.75" thickTop="1">
      <c r="A71" s="705"/>
      <c r="B71" s="669">
        <f>B23</f>
        <v>111</v>
      </c>
      <c r="C71" s="537"/>
      <c r="D71" s="537"/>
      <c r="E71" s="537"/>
      <c r="F71" s="537"/>
      <c r="G71" s="684"/>
      <c r="H71" s="684"/>
      <c r="I71" s="684"/>
      <c r="J71" s="684"/>
      <c r="K71" s="684"/>
      <c r="L71" s="885"/>
      <c r="M71" s="886"/>
      <c r="N71" s="2157"/>
      <c r="O71" s="2157"/>
      <c r="P71" s="2160"/>
      <c r="Q71" s="2153"/>
      <c r="R71" s="1988"/>
      <c r="S71" s="1988"/>
      <c r="T71" s="1988"/>
      <c r="U71" s="1988"/>
      <c r="V71" s="1988"/>
      <c r="W71" s="1988"/>
      <c r="X71" s="1988"/>
      <c r="Y71" s="1988"/>
      <c r="Z71" s="1988"/>
      <c r="AA71" s="1988"/>
      <c r="AB71" s="1988"/>
      <c r="AC71" s="1988"/>
    </row>
    <row r="72" spans="1:29" s="1215" customFormat="1" ht="15.75" thickBot="1">
      <c r="A72" s="705"/>
      <c r="B72" s="674"/>
      <c r="C72" s="688"/>
      <c r="D72" s="667"/>
      <c r="E72" s="667"/>
      <c r="F72" s="667"/>
      <c r="G72" s="667"/>
      <c r="H72" s="667"/>
      <c r="I72" s="667"/>
      <c r="J72" s="667"/>
      <c r="K72" s="667"/>
      <c r="L72" s="667"/>
      <c r="M72" s="668"/>
      <c r="N72" s="2161"/>
      <c r="O72" s="2161"/>
      <c r="P72" s="2160"/>
      <c r="Q72" s="2153"/>
      <c r="R72" s="1988"/>
      <c r="S72" s="1988"/>
      <c r="T72" s="1988"/>
      <c r="U72" s="1988"/>
      <c r="V72" s="1988"/>
      <c r="W72" s="1988"/>
      <c r="X72" s="1988"/>
      <c r="Y72" s="1988"/>
      <c r="Z72" s="1988"/>
      <c r="AA72" s="1988"/>
      <c r="AB72" s="1988"/>
      <c r="AC72" s="1988"/>
    </row>
    <row r="73" spans="1:29" s="1215" customFormat="1" ht="15.75" thickTop="1">
      <c r="A73" s="705"/>
      <c r="B73" s="669">
        <f>B24</f>
        <v>111</v>
      </c>
      <c r="C73" s="537"/>
      <c r="D73" s="537"/>
      <c r="E73" s="537"/>
      <c r="F73" s="537"/>
      <c r="G73" s="684"/>
      <c r="H73" s="684"/>
      <c r="I73" s="684"/>
      <c r="J73" s="684"/>
      <c r="K73" s="684"/>
      <c r="L73" s="684"/>
      <c r="M73" s="886"/>
      <c r="N73" s="2157"/>
      <c r="O73" s="2157"/>
      <c r="P73" s="2160"/>
      <c r="Q73" s="2153"/>
      <c r="R73" s="1988"/>
      <c r="S73" s="1988"/>
      <c r="T73" s="1988"/>
      <c r="U73" s="1988"/>
      <c r="V73" s="1988"/>
      <c r="W73" s="1988"/>
      <c r="X73" s="1988"/>
      <c r="Y73" s="1988"/>
      <c r="Z73" s="1988"/>
      <c r="AA73" s="1988"/>
      <c r="AB73" s="1988"/>
      <c r="AC73" s="1988"/>
    </row>
    <row r="74" spans="1:29" s="1215" customFormat="1" ht="15.75" thickBot="1">
      <c r="A74" s="705"/>
      <c r="B74" s="674"/>
      <c r="C74" s="688"/>
      <c r="D74" s="667"/>
      <c r="E74" s="667"/>
      <c r="F74" s="667"/>
      <c r="G74" s="667"/>
      <c r="H74" s="667"/>
      <c r="I74" s="667"/>
      <c r="J74" s="667"/>
      <c r="K74" s="667"/>
      <c r="L74" s="667"/>
      <c r="M74" s="668"/>
      <c r="N74" s="2161"/>
      <c r="O74" s="2161"/>
      <c r="P74" s="2160"/>
      <c r="Q74" s="2153"/>
      <c r="R74" s="1988"/>
      <c r="S74" s="1988"/>
      <c r="T74" s="1988"/>
      <c r="U74" s="1988"/>
      <c r="V74" s="1988"/>
      <c r="W74" s="1988"/>
      <c r="X74" s="1988"/>
      <c r="Y74" s="1988"/>
      <c r="Z74" s="1988"/>
      <c r="AA74" s="1988"/>
      <c r="AB74" s="1988"/>
      <c r="AC74" s="1988"/>
    </row>
    <row r="75" spans="1:29" s="1334" customFormat="1" ht="15.75" thickTop="1">
      <c r="A75" s="683"/>
      <c r="B75" s="669">
        <f>B25</f>
        <v>111</v>
      </c>
      <c r="C75" s="537"/>
      <c r="D75" s="537"/>
      <c r="E75" s="537"/>
      <c r="F75" s="537"/>
      <c r="G75" s="684"/>
      <c r="H75" s="685"/>
      <c r="I75" s="685"/>
      <c r="J75" s="685"/>
      <c r="K75" s="685"/>
      <c r="L75" s="686"/>
      <c r="M75" s="687"/>
      <c r="N75" s="2162"/>
      <c r="O75" s="2162"/>
      <c r="P75" s="2163"/>
      <c r="Q75" s="2164"/>
      <c r="R75" s="2165"/>
      <c r="S75" s="2165"/>
      <c r="T75" s="2165"/>
      <c r="U75" s="2165"/>
      <c r="V75" s="2165"/>
      <c r="W75" s="2165"/>
      <c r="X75" s="2165"/>
      <c r="Y75" s="2165"/>
      <c r="Z75" s="2165"/>
      <c r="AA75" s="2165"/>
      <c r="AB75" s="2165"/>
      <c r="AC75" s="2165"/>
    </row>
    <row r="76" spans="1:29" s="1334" customFormat="1" ht="15.75" thickBot="1">
      <c r="A76" s="683"/>
      <c r="B76" s="674"/>
      <c r="C76" s="688"/>
      <c r="D76" s="688"/>
      <c r="E76" s="688"/>
      <c r="F76" s="688"/>
      <c r="G76" s="667"/>
      <c r="H76" s="667"/>
      <c r="I76" s="667"/>
      <c r="J76" s="667"/>
      <c r="K76" s="667"/>
      <c r="L76" s="667"/>
      <c r="M76" s="668"/>
      <c r="N76" s="2162"/>
      <c r="O76" s="2162"/>
      <c r="P76" s="2163"/>
      <c r="Q76" s="2164"/>
      <c r="R76" s="2165"/>
      <c r="S76" s="2165"/>
      <c r="T76" s="2165"/>
      <c r="U76" s="2165"/>
      <c r="V76" s="2165"/>
      <c r="W76" s="2165"/>
      <c r="X76" s="2165"/>
      <c r="Y76" s="2165"/>
      <c r="Z76" s="2165"/>
      <c r="AA76" s="2165"/>
      <c r="AB76" s="2165"/>
      <c r="AC76" s="2165"/>
    </row>
    <row r="77" spans="1:29" ht="15" thickTop="1">
      <c r="A77" s="660" t="s">
        <v>545</v>
      </c>
      <c r="B77" s="661" t="s">
        <v>744</v>
      </c>
      <c r="C77" s="684"/>
      <c r="D77" s="684"/>
      <c r="E77" s="594"/>
      <c r="F77" s="594"/>
      <c r="G77" s="594"/>
      <c r="H77" s="594"/>
      <c r="I77" s="594"/>
      <c r="J77" s="594"/>
      <c r="K77" s="662"/>
      <c r="L77" s="663"/>
      <c r="M77" s="664"/>
      <c r="N77" s="2159"/>
      <c r="O77" s="2159"/>
      <c r="P77" s="2160"/>
      <c r="Q77" s="2153"/>
      <c r="R77" s="2140"/>
      <c r="S77" s="2140"/>
      <c r="T77" s="2140"/>
      <c r="U77" s="2140"/>
      <c r="V77" s="2140"/>
      <c r="W77" s="2140"/>
      <c r="X77" s="2140"/>
      <c r="Y77" s="2140"/>
      <c r="Z77" s="2140"/>
      <c r="AA77" s="2140"/>
      <c r="AB77" s="2140"/>
      <c r="AC77" s="2140"/>
    </row>
    <row r="78" spans="1:29" ht="15.75" thickBot="1">
      <c r="A78" s="665"/>
      <c r="B78" s="674"/>
      <c r="C78" s="675">
        <v>100</v>
      </c>
      <c r="D78" s="675">
        <f t="shared" ref="D78:M78" si="17">C78-$K26</f>
        <v>100</v>
      </c>
      <c r="E78" s="675">
        <f t="shared" si="17"/>
        <v>100</v>
      </c>
      <c r="F78" s="675">
        <f t="shared" si="17"/>
        <v>100</v>
      </c>
      <c r="G78" s="675">
        <f t="shared" si="17"/>
        <v>100</v>
      </c>
      <c r="H78" s="675">
        <f t="shared" si="17"/>
        <v>100</v>
      </c>
      <c r="I78" s="675">
        <f t="shared" si="17"/>
        <v>100</v>
      </c>
      <c r="J78" s="675">
        <f t="shared" si="17"/>
        <v>100</v>
      </c>
      <c r="K78" s="675">
        <f t="shared" si="17"/>
        <v>100</v>
      </c>
      <c r="L78" s="675">
        <f t="shared" si="17"/>
        <v>100</v>
      </c>
      <c r="M78" s="676">
        <f t="shared" si="17"/>
        <v>100</v>
      </c>
      <c r="N78" s="2161"/>
      <c r="O78" s="2161"/>
      <c r="P78" s="2160"/>
      <c r="Q78" s="2153"/>
      <c r="R78" s="2140"/>
      <c r="S78" s="2140"/>
      <c r="T78" s="2140"/>
      <c r="U78" s="2140"/>
      <c r="V78" s="2140"/>
      <c r="W78" s="2140"/>
      <c r="X78" s="2140"/>
      <c r="Y78" s="2140"/>
      <c r="Z78" s="2140"/>
      <c r="AA78" s="2140"/>
      <c r="AB78" s="2140"/>
      <c r="AC78" s="2140"/>
    </row>
    <row r="79" spans="1:29" ht="15.75" thickTop="1">
      <c r="A79" s="665"/>
      <c r="B79" s="669" t="s">
        <v>809</v>
      </c>
      <c r="C79" s="704" t="str">
        <f>C80&amp;"(含)"&amp;"-"&amp;D80</f>
        <v>0.5(含)-0.6</v>
      </c>
      <c r="D79" s="704" t="str">
        <f>D80&amp;"(含)"&amp;"-"&amp;E80</f>
        <v>0.6(含)-0.7</v>
      </c>
      <c r="E79" s="704" t="str">
        <f>E80&amp;"(含)"&amp;"-"&amp;F80</f>
        <v>0.7(含)-0.8</v>
      </c>
      <c r="F79" s="704" t="str">
        <f>F80&amp;"(含)"&amp;"-"&amp;G80</f>
        <v>0.8(含)-0.9</v>
      </c>
      <c r="G79" s="704" t="str">
        <f>G80&amp;"(含)"&amp;"-"&amp;ROUND(H80,0)</f>
        <v>0.9(含)-1</v>
      </c>
      <c r="H79" s="704"/>
      <c r="I79" s="670"/>
      <c r="J79" s="670"/>
      <c r="K79" s="671"/>
      <c r="L79" s="672"/>
      <c r="M79" s="673"/>
      <c r="N79" s="2157"/>
      <c r="O79" s="2157"/>
      <c r="P79" s="2160"/>
      <c r="Q79" s="2153"/>
      <c r="R79" s="2140"/>
      <c r="S79" s="2140"/>
      <c r="T79" s="2140"/>
      <c r="U79" s="2140"/>
      <c r="V79" s="2140"/>
      <c r="W79" s="2140"/>
      <c r="X79" s="2140"/>
      <c r="Y79" s="2140"/>
      <c r="Z79" s="2140"/>
      <c r="AA79" s="2140"/>
      <c r="AB79" s="2140"/>
      <c r="AC79" s="2140"/>
    </row>
    <row r="80" spans="1:29" ht="15">
      <c r="A80" s="665"/>
      <c r="B80" s="677"/>
      <c r="C80" s="889">
        <v>0.5</v>
      </c>
      <c r="D80" s="889">
        <v>0.6</v>
      </c>
      <c r="E80" s="889">
        <v>0.7</v>
      </c>
      <c r="F80" s="889">
        <v>0.8</v>
      </c>
      <c r="G80" s="889">
        <v>0.9</v>
      </c>
      <c r="H80" s="889">
        <v>1.0001</v>
      </c>
      <c r="I80" s="930"/>
      <c r="J80" s="930"/>
      <c r="K80" s="940"/>
      <c r="L80" s="941"/>
      <c r="M80" s="942"/>
      <c r="N80" s="2157"/>
      <c r="O80" s="2157"/>
      <c r="P80" s="2160"/>
      <c r="Q80" s="2153"/>
      <c r="R80" s="2140"/>
      <c r="S80" s="2140"/>
      <c r="T80" s="2140"/>
      <c r="U80" s="2140"/>
      <c r="V80" s="2140"/>
      <c r="W80" s="2140"/>
      <c r="X80" s="2140"/>
      <c r="Y80" s="2140"/>
      <c r="Z80" s="2140"/>
      <c r="AA80" s="2140"/>
      <c r="AB80" s="2140"/>
      <c r="AC80" s="2140"/>
    </row>
    <row r="81" spans="1:29" s="1334" customFormat="1" ht="15.75" thickBot="1">
      <c r="A81" s="683"/>
      <c r="B81" s="674"/>
      <c r="C81" s="708">
        <v>100</v>
      </c>
      <c r="D81" s="675">
        <f t="shared" ref="D81:M81" si="18">C81+$K27</f>
        <v>100</v>
      </c>
      <c r="E81" s="675">
        <f t="shared" si="18"/>
        <v>100</v>
      </c>
      <c r="F81" s="675">
        <f t="shared" si="18"/>
        <v>100</v>
      </c>
      <c r="G81" s="675">
        <f t="shared" si="18"/>
        <v>100</v>
      </c>
      <c r="H81" s="675">
        <f t="shared" si="18"/>
        <v>100</v>
      </c>
      <c r="I81" s="675">
        <f t="shared" si="18"/>
        <v>100</v>
      </c>
      <c r="J81" s="675">
        <f t="shared" si="18"/>
        <v>100</v>
      </c>
      <c r="K81" s="675">
        <f t="shared" si="18"/>
        <v>100</v>
      </c>
      <c r="L81" s="675">
        <f t="shared" si="18"/>
        <v>100</v>
      </c>
      <c r="M81" s="675">
        <f t="shared" si="18"/>
        <v>100</v>
      </c>
      <c r="N81" s="2161"/>
      <c r="O81" s="2161"/>
      <c r="P81" s="2163"/>
      <c r="Q81" s="2164"/>
      <c r="R81" s="2165"/>
      <c r="S81" s="2165"/>
      <c r="T81" s="2165"/>
      <c r="U81" s="2165"/>
      <c r="V81" s="2165"/>
      <c r="W81" s="2165"/>
      <c r="X81" s="2165"/>
      <c r="Y81" s="2165"/>
      <c r="Z81" s="2165"/>
      <c r="AA81" s="2165"/>
      <c r="AB81" s="2165"/>
      <c r="AC81" s="2165"/>
    </row>
    <row r="82" spans="1:29" ht="15" thickTop="1">
      <c r="A82" s="731"/>
      <c r="B82" s="677" t="s">
        <v>810</v>
      </c>
      <c r="C82" s="684"/>
      <c r="D82" s="684"/>
      <c r="E82" s="714"/>
      <c r="F82" s="714"/>
      <c r="G82" s="714"/>
      <c r="H82" s="714"/>
      <c r="I82" s="714"/>
      <c r="J82" s="714"/>
      <c r="K82" s="715"/>
      <c r="L82" s="716"/>
      <c r="M82" s="717"/>
      <c r="N82" s="2159"/>
      <c r="O82" s="2159"/>
      <c r="P82" s="2160"/>
      <c r="Q82" s="2153"/>
      <c r="R82" s="2140"/>
      <c r="S82" s="2140"/>
      <c r="T82" s="2140"/>
      <c r="U82" s="2140"/>
      <c r="V82" s="2140"/>
      <c r="W82" s="2140"/>
      <c r="X82" s="2140"/>
      <c r="Y82" s="2140"/>
      <c r="Z82" s="2140"/>
      <c r="AA82" s="2140"/>
      <c r="AB82" s="2140"/>
      <c r="AC82" s="2140"/>
    </row>
    <row r="83" spans="1:29" ht="15.75" thickBot="1">
      <c r="A83" s="665"/>
      <c r="B83" s="674"/>
      <c r="C83" s="675">
        <v>100</v>
      </c>
      <c r="D83" s="675">
        <f t="shared" ref="D83:M83" si="19">C83-$K28</f>
        <v>100</v>
      </c>
      <c r="E83" s="675">
        <f t="shared" si="19"/>
        <v>100</v>
      </c>
      <c r="F83" s="675">
        <f t="shared" si="19"/>
        <v>100</v>
      </c>
      <c r="G83" s="675">
        <f t="shared" si="19"/>
        <v>100</v>
      </c>
      <c r="H83" s="675">
        <f t="shared" si="19"/>
        <v>100</v>
      </c>
      <c r="I83" s="675">
        <f t="shared" si="19"/>
        <v>100</v>
      </c>
      <c r="J83" s="675">
        <f t="shared" si="19"/>
        <v>100</v>
      </c>
      <c r="K83" s="675">
        <f t="shared" si="19"/>
        <v>100</v>
      </c>
      <c r="L83" s="675">
        <f t="shared" si="19"/>
        <v>100</v>
      </c>
      <c r="M83" s="676">
        <f t="shared" si="19"/>
        <v>100</v>
      </c>
      <c r="N83" s="2161"/>
      <c r="O83" s="2161"/>
      <c r="P83" s="2160"/>
      <c r="Q83" s="2153"/>
      <c r="R83" s="2140"/>
      <c r="S83" s="2140"/>
      <c r="T83" s="2140"/>
      <c r="U83" s="2140"/>
      <c r="V83" s="2140"/>
      <c r="W83" s="2140"/>
      <c r="X83" s="2140"/>
      <c r="Y83" s="2140"/>
      <c r="Z83" s="2140"/>
      <c r="AA83" s="2140"/>
      <c r="AB83" s="2140"/>
      <c r="AC83" s="2140"/>
    </row>
    <row r="84" spans="1:29" ht="15" thickTop="1">
      <c r="A84" s="731"/>
      <c r="B84" s="669" t="s">
        <v>818</v>
      </c>
      <c r="C84" s="684"/>
      <c r="D84" s="684"/>
      <c r="E84" s="684"/>
      <c r="F84" s="684"/>
      <c r="G84" s="684"/>
      <c r="H84" s="684"/>
      <c r="I84" s="714"/>
      <c r="J84" s="714"/>
      <c r="K84" s="715"/>
      <c r="L84" s="716"/>
      <c r="M84" s="717"/>
      <c r="N84" s="2159"/>
      <c r="O84" s="2159"/>
      <c r="P84" s="2160"/>
      <c r="Q84" s="2153"/>
      <c r="R84" s="2140"/>
      <c r="S84" s="2140"/>
      <c r="T84" s="2140"/>
      <c r="U84" s="2140"/>
      <c r="V84" s="2140"/>
      <c r="W84" s="2140"/>
      <c r="X84" s="2140"/>
      <c r="Y84" s="2140"/>
      <c r="Z84" s="2140"/>
      <c r="AA84" s="2140"/>
      <c r="AB84" s="2140"/>
      <c r="AC84" s="2140"/>
    </row>
    <row r="85" spans="1:29" ht="15.75" thickBot="1">
      <c r="A85" s="665"/>
      <c r="B85" s="674"/>
      <c r="C85" s="708">
        <v>100</v>
      </c>
      <c r="D85" s="675">
        <f t="shared" ref="D85:M85" si="20">C85+$K29</f>
        <v>100</v>
      </c>
      <c r="E85" s="675">
        <f t="shared" si="20"/>
        <v>100</v>
      </c>
      <c r="F85" s="675">
        <f t="shared" si="20"/>
        <v>100</v>
      </c>
      <c r="G85" s="675">
        <f t="shared" si="20"/>
        <v>100</v>
      </c>
      <c r="H85" s="675">
        <f t="shared" si="20"/>
        <v>100</v>
      </c>
      <c r="I85" s="675">
        <f t="shared" si="20"/>
        <v>100</v>
      </c>
      <c r="J85" s="675">
        <f t="shared" si="20"/>
        <v>100</v>
      </c>
      <c r="K85" s="675">
        <f t="shared" si="20"/>
        <v>100</v>
      </c>
      <c r="L85" s="675">
        <f t="shared" si="20"/>
        <v>100</v>
      </c>
      <c r="M85" s="675">
        <f t="shared" si="20"/>
        <v>100</v>
      </c>
      <c r="N85" s="2161"/>
      <c r="O85" s="2161"/>
      <c r="P85" s="2160"/>
      <c r="Q85" s="2153"/>
      <c r="R85" s="2140"/>
      <c r="S85" s="2140"/>
      <c r="T85" s="2140"/>
      <c r="U85" s="2140"/>
      <c r="V85" s="2140"/>
      <c r="W85" s="2140"/>
      <c r="X85" s="2140"/>
      <c r="Y85" s="2140"/>
      <c r="Z85" s="2140"/>
      <c r="AA85" s="2140"/>
      <c r="AB85" s="2140"/>
      <c r="AC85" s="2140"/>
    </row>
    <row r="86" spans="1:29" ht="15" thickTop="1">
      <c r="A86" s="731"/>
      <c r="B86" s="677" t="s">
        <v>819</v>
      </c>
      <c r="C86" s="704" t="str">
        <f t="shared" ref="C86:L86" si="21">C87&amp;"(含)"&amp;"-"&amp;D87</f>
        <v>(含)-</v>
      </c>
      <c r="D86" s="704" t="str">
        <f t="shared" si="21"/>
        <v>(含)-</v>
      </c>
      <c r="E86" s="704" t="str">
        <f t="shared" si="21"/>
        <v>(含)-</v>
      </c>
      <c r="F86" s="704" t="str">
        <f t="shared" si="21"/>
        <v>(含)-</v>
      </c>
      <c r="G86" s="704" t="str">
        <f t="shared" si="21"/>
        <v>(含)-</v>
      </c>
      <c r="H86" s="704" t="str">
        <f t="shared" si="21"/>
        <v>(含)-</v>
      </c>
      <c r="I86" s="704" t="str">
        <f t="shared" si="21"/>
        <v>(含)-</v>
      </c>
      <c r="J86" s="704" t="str">
        <f t="shared" si="21"/>
        <v>(含)-</v>
      </c>
      <c r="K86" s="704" t="str">
        <f t="shared" si="21"/>
        <v>(含)-</v>
      </c>
      <c r="L86" s="704" t="str">
        <f t="shared" si="21"/>
        <v>(含)-</v>
      </c>
      <c r="M86" s="707" t="str">
        <f>M87&amp;"(含)"&amp;"-"&amp;P87</f>
        <v>(含)-</v>
      </c>
      <c r="N86" s="2159"/>
      <c r="O86" s="2159"/>
      <c r="P86" s="2160"/>
      <c r="Q86" s="2153"/>
      <c r="R86" s="2140"/>
      <c r="S86" s="2140"/>
      <c r="T86" s="2140"/>
      <c r="U86" s="2140"/>
      <c r="V86" s="2140"/>
      <c r="W86" s="2140"/>
      <c r="X86" s="2140"/>
      <c r="Y86" s="2140"/>
      <c r="Z86" s="2140"/>
      <c r="AA86" s="2140"/>
      <c r="AB86" s="2140"/>
      <c r="AC86" s="2140"/>
    </row>
    <row r="87" spans="1:29">
      <c r="A87" s="731"/>
      <c r="B87" s="677"/>
      <c r="C87" s="726"/>
      <c r="D87" s="726"/>
      <c r="E87" s="726"/>
      <c r="F87" s="726"/>
      <c r="G87" s="726"/>
      <c r="H87" s="726"/>
      <c r="I87" s="726"/>
      <c r="J87" s="727"/>
      <c r="K87" s="727"/>
      <c r="L87" s="728"/>
      <c r="M87" s="729"/>
      <c r="N87" s="2159"/>
      <c r="O87" s="2159"/>
      <c r="P87" s="2160"/>
      <c r="Q87" s="2153"/>
      <c r="R87" s="2140"/>
      <c r="S87" s="2140"/>
      <c r="T87" s="2140"/>
      <c r="U87" s="2140"/>
      <c r="V87" s="2140"/>
      <c r="W87" s="2140"/>
      <c r="X87" s="2140"/>
      <c r="Y87" s="2140"/>
      <c r="Z87" s="2140"/>
      <c r="AA87" s="2140"/>
      <c r="AB87" s="2140"/>
      <c r="AC87" s="2140"/>
    </row>
    <row r="88" spans="1:29" ht="15.75" thickBot="1">
      <c r="A88" s="665"/>
      <c r="B88" s="674"/>
      <c r="C88" s="688"/>
      <c r="D88" s="667"/>
      <c r="E88" s="667"/>
      <c r="F88" s="667"/>
      <c r="G88" s="667"/>
      <c r="H88" s="667"/>
      <c r="I88" s="667"/>
      <c r="J88" s="667"/>
      <c r="K88" s="667"/>
      <c r="L88" s="667"/>
      <c r="M88" s="667"/>
      <c r="N88" s="2161"/>
      <c r="O88" s="2161"/>
      <c r="P88" s="2160"/>
      <c r="Q88" s="2153"/>
      <c r="R88" s="2140"/>
      <c r="S88" s="2140"/>
      <c r="T88" s="2140"/>
      <c r="U88" s="2140"/>
      <c r="V88" s="2140"/>
      <c r="W88" s="2140"/>
      <c r="X88" s="2140"/>
      <c r="Y88" s="2140"/>
      <c r="Z88" s="2140"/>
      <c r="AA88" s="2140"/>
      <c r="AB88" s="2140"/>
      <c r="AC88" s="2140"/>
    </row>
    <row r="89" spans="1:29" s="1334" customFormat="1" ht="15" thickTop="1">
      <c r="A89" s="724"/>
      <c r="B89" s="669" t="s">
        <v>820</v>
      </c>
      <c r="C89" s="684"/>
      <c r="D89" s="684"/>
      <c r="E89" s="684"/>
      <c r="F89" s="684"/>
      <c r="G89" s="684"/>
      <c r="H89" s="684"/>
      <c r="I89" s="684"/>
      <c r="J89" s="684"/>
      <c r="K89" s="684"/>
      <c r="L89" s="684"/>
      <c r="M89" s="886"/>
      <c r="N89" s="2162"/>
      <c r="O89" s="2162"/>
      <c r="P89" s="2163"/>
      <c r="Q89" s="2164"/>
      <c r="R89" s="2165"/>
      <c r="S89" s="2165"/>
      <c r="T89" s="2165"/>
      <c r="U89" s="2165"/>
      <c r="V89" s="2165"/>
      <c r="W89" s="2165"/>
      <c r="X89" s="2165"/>
      <c r="Y89" s="2165"/>
      <c r="Z89" s="2165"/>
      <c r="AA89" s="2165"/>
      <c r="AB89" s="2165"/>
      <c r="AC89" s="2165"/>
    </row>
    <row r="90" spans="1:29" s="1334" customFormat="1" ht="15.75" thickBot="1">
      <c r="A90" s="683"/>
      <c r="B90" s="674"/>
      <c r="C90" s="688"/>
      <c r="D90" s="667"/>
      <c r="E90" s="667"/>
      <c r="F90" s="667"/>
      <c r="G90" s="667"/>
      <c r="H90" s="667"/>
      <c r="I90" s="667"/>
      <c r="J90" s="667"/>
      <c r="K90" s="667"/>
      <c r="L90" s="667"/>
      <c r="M90" s="668"/>
      <c r="N90" s="2162"/>
      <c r="O90" s="2162"/>
      <c r="P90" s="2163"/>
      <c r="Q90" s="2164"/>
      <c r="R90" s="2165"/>
      <c r="S90" s="2165"/>
      <c r="T90" s="2165"/>
      <c r="U90" s="2165"/>
      <c r="V90" s="2165"/>
      <c r="W90" s="2165"/>
      <c r="X90" s="2165"/>
      <c r="Y90" s="2165"/>
      <c r="Z90" s="2165"/>
      <c r="AA90" s="2165"/>
      <c r="AB90" s="2165"/>
      <c r="AC90" s="2165"/>
    </row>
    <row r="91" spans="1:29" ht="15" thickTop="1">
      <c r="A91" s="731"/>
      <c r="B91" s="669">
        <f>B32</f>
        <v>111</v>
      </c>
      <c r="C91" s="537"/>
      <c r="D91" s="537"/>
      <c r="E91" s="537"/>
      <c r="F91" s="537"/>
      <c r="G91" s="684"/>
      <c r="H91" s="685"/>
      <c r="I91" s="685"/>
      <c r="J91" s="685"/>
      <c r="K91" s="685"/>
      <c r="L91" s="686"/>
      <c r="M91" s="687"/>
      <c r="N91" s="2159"/>
      <c r="O91" s="2159"/>
      <c r="P91" s="2160"/>
      <c r="Q91" s="2153"/>
      <c r="R91" s="2140"/>
      <c r="S91" s="2140"/>
      <c r="T91" s="2140"/>
      <c r="U91" s="2140"/>
      <c r="V91" s="2140"/>
      <c r="W91" s="2140"/>
      <c r="X91" s="2140"/>
      <c r="Y91" s="2140"/>
      <c r="Z91" s="2140"/>
      <c r="AA91" s="2140"/>
      <c r="AB91" s="2140"/>
      <c r="AC91" s="2140"/>
    </row>
    <row r="92" spans="1:29" ht="15.75" thickBot="1">
      <c r="A92" s="665"/>
      <c r="B92" s="674"/>
      <c r="C92" s="688"/>
      <c r="D92" s="667"/>
      <c r="E92" s="667"/>
      <c r="F92" s="667"/>
      <c r="G92" s="688"/>
      <c r="H92" s="689"/>
      <c r="I92" s="689"/>
      <c r="J92" s="689"/>
      <c r="K92" s="689"/>
      <c r="L92" s="689"/>
      <c r="M92" s="690"/>
      <c r="N92" s="2161"/>
      <c r="O92" s="2161"/>
      <c r="P92" s="2160"/>
      <c r="Q92" s="2153"/>
      <c r="R92" s="2140"/>
      <c r="S92" s="2140"/>
      <c r="T92" s="2140"/>
      <c r="U92" s="2140"/>
      <c r="V92" s="2140"/>
      <c r="W92" s="2140"/>
      <c r="X92" s="2140"/>
      <c r="Y92" s="2140"/>
      <c r="Z92" s="2140"/>
      <c r="AA92" s="2140"/>
      <c r="AB92" s="2140"/>
      <c r="AC92" s="2140"/>
    </row>
    <row r="93" spans="1:29" ht="15" thickTop="1">
      <c r="A93" s="731"/>
      <c r="B93" s="669">
        <f>B33</f>
        <v>111</v>
      </c>
      <c r="C93" s="537"/>
      <c r="D93" s="537"/>
      <c r="E93" s="537"/>
      <c r="F93" s="537"/>
      <c r="G93" s="684"/>
      <c r="H93" s="685"/>
      <c r="I93" s="685"/>
      <c r="J93" s="685"/>
      <c r="K93" s="685"/>
      <c r="L93" s="686"/>
      <c r="M93" s="687"/>
      <c r="N93" s="2159"/>
      <c r="O93" s="2159"/>
      <c r="P93" s="2160"/>
      <c r="Q93" s="2153"/>
      <c r="R93" s="2140"/>
      <c r="S93" s="2140"/>
      <c r="T93" s="2140"/>
      <c r="U93" s="2140"/>
      <c r="V93" s="2140"/>
      <c r="W93" s="2140"/>
      <c r="X93" s="2140"/>
      <c r="Y93" s="2140"/>
      <c r="Z93" s="2140"/>
      <c r="AA93" s="2140"/>
      <c r="AB93" s="2140"/>
      <c r="AC93" s="2140"/>
    </row>
    <row r="94" spans="1:29" ht="15.75" thickBot="1">
      <c r="A94" s="665"/>
      <c r="B94" s="674"/>
      <c r="C94" s="688"/>
      <c r="D94" s="667"/>
      <c r="E94" s="667"/>
      <c r="F94" s="667"/>
      <c r="G94" s="688"/>
      <c r="H94" s="689"/>
      <c r="I94" s="689"/>
      <c r="J94" s="689"/>
      <c r="K94" s="689"/>
      <c r="L94" s="689"/>
      <c r="M94" s="690"/>
      <c r="N94" s="2161"/>
      <c r="O94" s="2161"/>
      <c r="P94" s="2160"/>
      <c r="Q94" s="2153"/>
      <c r="R94" s="2140"/>
      <c r="S94" s="2140"/>
      <c r="T94" s="2140"/>
      <c r="U94" s="2140"/>
      <c r="V94" s="2140"/>
      <c r="W94" s="2140"/>
      <c r="X94" s="2140"/>
      <c r="Y94" s="2140"/>
      <c r="Z94" s="2140"/>
      <c r="AA94" s="2140"/>
      <c r="AB94" s="2140"/>
      <c r="AC94" s="2140"/>
    </row>
    <row r="95" spans="1:29" ht="15" thickTop="1">
      <c r="A95" s="731"/>
      <c r="B95" s="912">
        <f>B34</f>
        <v>111</v>
      </c>
      <c r="C95" s="537"/>
      <c r="D95" s="537"/>
      <c r="E95" s="537"/>
      <c r="F95" s="537"/>
      <c r="G95" s="684"/>
      <c r="H95" s="685"/>
      <c r="I95" s="685"/>
      <c r="J95" s="685"/>
      <c r="K95" s="685"/>
      <c r="L95" s="686"/>
      <c r="M95" s="687"/>
      <c r="N95" s="2161"/>
      <c r="O95" s="2161"/>
      <c r="P95" s="2200"/>
      <c r="Q95" s="2201"/>
      <c r="R95" s="2140"/>
      <c r="S95" s="2140"/>
      <c r="T95" s="2140"/>
      <c r="U95" s="2140"/>
      <c r="V95" s="2140"/>
      <c r="W95" s="2140"/>
      <c r="X95" s="2140"/>
      <c r="Y95" s="2140"/>
      <c r="Z95" s="2140"/>
      <c r="AA95" s="2140"/>
      <c r="AB95" s="2140"/>
      <c r="AC95" s="2140"/>
    </row>
    <row r="96" spans="1:29" ht="15.75" thickBot="1">
      <c r="A96" s="665"/>
      <c r="B96" s="674"/>
      <c r="C96" s="688"/>
      <c r="D96" s="688"/>
      <c r="E96" s="688"/>
      <c r="F96" s="688"/>
      <c r="G96" s="688"/>
      <c r="H96" s="689"/>
      <c r="I96" s="689"/>
      <c r="J96" s="689"/>
      <c r="K96" s="689"/>
      <c r="L96" s="689"/>
      <c r="M96" s="690"/>
      <c r="N96" s="2161"/>
      <c r="O96" s="2161"/>
      <c r="P96" s="2160"/>
      <c r="Q96" s="2153"/>
      <c r="R96" s="2140"/>
      <c r="S96" s="2140"/>
      <c r="T96" s="2140"/>
      <c r="U96" s="2140"/>
      <c r="V96" s="2140"/>
      <c r="W96" s="2140"/>
      <c r="X96" s="2140"/>
      <c r="Y96" s="2140"/>
      <c r="Z96" s="2140"/>
      <c r="AA96" s="2140"/>
      <c r="AB96" s="2140"/>
      <c r="AC96" s="2140"/>
    </row>
    <row r="97" spans="1:29" ht="15" thickTop="1">
      <c r="A97" s="2174"/>
      <c r="B97" s="2174"/>
      <c r="C97" s="2174"/>
      <c r="D97" s="2174"/>
      <c r="E97" s="2174"/>
      <c r="F97" s="2174"/>
      <c r="G97" s="2174"/>
      <c r="H97" s="2174"/>
      <c r="I97" s="2174"/>
      <c r="J97" s="2174"/>
      <c r="K97" s="2175"/>
      <c r="L97" s="2176"/>
      <c r="M97" s="2174"/>
      <c r="N97" s="2174"/>
      <c r="O97" s="2174"/>
      <c r="P97" s="2174"/>
      <c r="Q97" s="2174"/>
      <c r="R97" s="2174"/>
      <c r="S97" s="2174"/>
      <c r="T97" s="2174"/>
      <c r="U97" s="2174"/>
      <c r="V97" s="2174"/>
      <c r="W97" s="2174"/>
      <c r="X97" s="2174"/>
      <c r="Y97" s="2174"/>
      <c r="Z97" s="2174"/>
      <c r="AA97" s="2174"/>
      <c r="AB97" s="2174"/>
      <c r="AC97" s="2174"/>
    </row>
    <row r="98" spans="1:29">
      <c r="A98" s="2174"/>
      <c r="B98" s="2174"/>
      <c r="C98" s="2174"/>
      <c r="D98" s="2174"/>
      <c r="E98" s="2174"/>
      <c r="F98" s="2174"/>
      <c r="G98" s="2174"/>
      <c r="H98" s="2174"/>
      <c r="I98" s="2174"/>
      <c r="J98" s="2174"/>
      <c r="K98" s="2175"/>
      <c r="L98" s="2176"/>
      <c r="M98" s="2174"/>
      <c r="N98" s="2174"/>
      <c r="O98" s="2174"/>
      <c r="P98" s="2174"/>
      <c r="Q98" s="2174"/>
      <c r="R98" s="2174"/>
      <c r="S98" s="2174"/>
      <c r="T98" s="2174"/>
      <c r="U98" s="2174"/>
      <c r="V98" s="2174"/>
      <c r="W98" s="2174"/>
      <c r="X98" s="2174"/>
      <c r="Y98" s="2174"/>
      <c r="Z98" s="2174"/>
      <c r="AA98" s="2174"/>
      <c r="AB98" s="2174"/>
      <c r="AC98" s="2174"/>
    </row>
    <row r="99" spans="1:29">
      <c r="A99" s="2174"/>
      <c r="B99" s="2174"/>
      <c r="C99" s="2174"/>
      <c r="D99" s="2174"/>
      <c r="E99" s="2174"/>
      <c r="F99" s="2174"/>
      <c r="G99" s="2174"/>
      <c r="H99" s="2174"/>
      <c r="I99" s="2174"/>
      <c r="J99" s="2174"/>
      <c r="K99" s="2175"/>
      <c r="L99" s="2176"/>
      <c r="M99" s="2174"/>
      <c r="N99" s="2174"/>
      <c r="O99" s="2174"/>
      <c r="P99" s="2174"/>
      <c r="Q99" s="2174"/>
      <c r="R99" s="2174"/>
      <c r="S99" s="2174"/>
      <c r="T99" s="2174"/>
      <c r="U99" s="2174"/>
      <c r="V99" s="2174"/>
      <c r="W99" s="2174"/>
      <c r="X99" s="2174"/>
      <c r="Y99" s="2174"/>
      <c r="Z99" s="2174"/>
      <c r="AA99" s="2174"/>
      <c r="AB99" s="2174"/>
      <c r="AC99" s="2174"/>
    </row>
    <row r="100" spans="1:29">
      <c r="A100" s="2174"/>
      <c r="B100" s="2174"/>
      <c r="C100" s="2174"/>
      <c r="D100" s="2174"/>
      <c r="E100" s="2174"/>
      <c r="F100" s="2174"/>
      <c r="G100" s="2174"/>
      <c r="H100" s="2174"/>
      <c r="I100" s="2174"/>
      <c r="J100" s="2174"/>
      <c r="K100" s="2175"/>
      <c r="L100" s="2176"/>
      <c r="M100" s="2174"/>
      <c r="N100" s="2174"/>
      <c r="O100" s="2174"/>
      <c r="P100" s="2174"/>
      <c r="Q100" s="2174"/>
      <c r="R100" s="2174"/>
      <c r="S100" s="2174"/>
      <c r="T100" s="2174"/>
      <c r="U100" s="2174"/>
      <c r="V100" s="2174"/>
      <c r="W100" s="2174"/>
      <c r="X100" s="2174"/>
      <c r="Y100" s="2174"/>
      <c r="Z100" s="2174"/>
      <c r="AA100" s="2174"/>
      <c r="AB100" s="2174"/>
      <c r="AC100" s="2174"/>
    </row>
    <row r="101" spans="1:29">
      <c r="A101" s="2174"/>
      <c r="B101" s="2174"/>
      <c r="C101" s="2174"/>
      <c r="D101" s="2174"/>
      <c r="E101" s="2174"/>
      <c r="F101" s="2174"/>
      <c r="G101" s="2174"/>
      <c r="H101" s="2174"/>
      <c r="I101" s="2174"/>
      <c r="J101" s="2174"/>
      <c r="K101" s="2175"/>
      <c r="L101" s="2176"/>
      <c r="M101" s="2174"/>
      <c r="N101" s="2174"/>
      <c r="O101" s="2174"/>
      <c r="P101" s="2174"/>
      <c r="Q101" s="2174"/>
      <c r="R101" s="2174"/>
      <c r="S101" s="2174"/>
      <c r="T101" s="2174"/>
      <c r="U101" s="2174"/>
      <c r="V101" s="2174"/>
      <c r="W101" s="2174"/>
      <c r="X101" s="2174"/>
      <c r="Y101" s="2174"/>
      <c r="Z101" s="2174"/>
      <c r="AA101" s="2174"/>
      <c r="AB101" s="2174"/>
      <c r="AC101" s="2174"/>
    </row>
    <row r="102" spans="1:29">
      <c r="A102" s="2174"/>
      <c r="B102" s="2174"/>
      <c r="C102" s="2174"/>
      <c r="D102" s="2174"/>
      <c r="E102" s="2174"/>
      <c r="F102" s="2174"/>
      <c r="G102" s="2174"/>
      <c r="H102" s="2174"/>
      <c r="I102" s="2174"/>
      <c r="J102" s="2174"/>
      <c r="K102" s="2175"/>
      <c r="L102" s="2176"/>
      <c r="M102" s="2174"/>
      <c r="N102" s="2174"/>
      <c r="O102" s="2174"/>
      <c r="P102" s="2174"/>
      <c r="Q102" s="2174"/>
      <c r="R102" s="2174"/>
      <c r="S102" s="2174"/>
      <c r="T102" s="2174"/>
      <c r="U102" s="2174"/>
      <c r="V102" s="2174"/>
      <c r="W102" s="2174"/>
      <c r="X102" s="2174"/>
      <c r="Y102" s="2174"/>
      <c r="Z102" s="2174"/>
      <c r="AA102" s="2174"/>
      <c r="AB102" s="2174"/>
      <c r="AC102" s="2174"/>
    </row>
    <row r="103" spans="1:29">
      <c r="A103" s="2174"/>
      <c r="B103" s="2174"/>
      <c r="C103" s="2174"/>
      <c r="D103" s="2174"/>
      <c r="E103" s="2174"/>
      <c r="F103" s="2174"/>
      <c r="G103" s="2174"/>
      <c r="H103" s="2174"/>
      <c r="I103" s="2174"/>
      <c r="J103" s="2174"/>
      <c r="K103" s="2175"/>
      <c r="L103" s="2176"/>
      <c r="M103" s="2174"/>
      <c r="N103" s="2174"/>
      <c r="O103" s="2174"/>
      <c r="P103" s="2174"/>
      <c r="Q103" s="2174"/>
      <c r="R103" s="2174"/>
      <c r="S103" s="2174"/>
      <c r="T103" s="2174"/>
      <c r="U103" s="2174"/>
      <c r="V103" s="2174"/>
      <c r="W103" s="2174"/>
      <c r="X103" s="2174"/>
      <c r="Y103" s="2174"/>
      <c r="Z103" s="2174"/>
      <c r="AA103" s="2174"/>
      <c r="AB103" s="2174"/>
      <c r="AC103" s="2174"/>
    </row>
    <row r="104" spans="1:29">
      <c r="A104" s="2174"/>
      <c r="B104" s="2174"/>
      <c r="C104" s="2174"/>
      <c r="D104" s="2174"/>
      <c r="E104" s="2174"/>
      <c r="F104" s="2174"/>
      <c r="G104" s="2174"/>
      <c r="H104" s="2174"/>
      <c r="I104" s="2174"/>
      <c r="J104" s="2174"/>
      <c r="K104" s="2175"/>
      <c r="L104" s="2176"/>
      <c r="M104" s="2174"/>
      <c r="N104" s="2174"/>
      <c r="O104" s="2174"/>
      <c r="P104" s="2174"/>
      <c r="Q104" s="2174"/>
      <c r="R104" s="2174"/>
      <c r="S104" s="2174"/>
      <c r="T104" s="2174"/>
      <c r="U104" s="2174"/>
      <c r="V104" s="2174"/>
      <c r="W104" s="2174"/>
      <c r="X104" s="2174"/>
      <c r="Y104" s="2174"/>
      <c r="Z104" s="2174"/>
      <c r="AA104" s="2174"/>
      <c r="AB104" s="2174"/>
      <c r="AC104" s="2174"/>
    </row>
    <row r="105" spans="1:29">
      <c r="A105" s="2174"/>
      <c r="B105" s="2174"/>
      <c r="C105" s="2174"/>
      <c r="D105" s="2174"/>
      <c r="E105" s="2174"/>
      <c r="F105" s="2174"/>
      <c r="G105" s="2174"/>
      <c r="H105" s="2174"/>
      <c r="I105" s="2174"/>
      <c r="J105" s="2174"/>
      <c r="K105" s="2175"/>
      <c r="L105" s="2176"/>
      <c r="M105" s="2174"/>
      <c r="N105" s="2174"/>
      <c r="O105" s="2174"/>
      <c r="P105" s="2174"/>
      <c r="Q105" s="2174"/>
      <c r="R105" s="2174"/>
      <c r="S105" s="2174"/>
      <c r="T105" s="2174"/>
      <c r="U105" s="2174"/>
      <c r="V105" s="2174"/>
      <c r="W105" s="2174"/>
      <c r="X105" s="2174"/>
      <c r="Y105" s="2174"/>
      <c r="Z105" s="2174"/>
      <c r="AA105" s="2174"/>
      <c r="AB105" s="2174"/>
      <c r="AC105" s="2174"/>
    </row>
    <row r="106" spans="1:29">
      <c r="A106" s="2174"/>
      <c r="B106" s="2174"/>
      <c r="C106" s="2174"/>
      <c r="D106" s="2174"/>
      <c r="E106" s="2174"/>
      <c r="F106" s="2174"/>
      <c r="G106" s="2174"/>
      <c r="H106" s="2174"/>
      <c r="I106" s="2174"/>
      <c r="J106" s="2174"/>
      <c r="K106" s="2175"/>
      <c r="L106" s="2176"/>
      <c r="M106" s="2174"/>
      <c r="N106" s="2174"/>
      <c r="O106" s="2174"/>
      <c r="P106" s="2174"/>
      <c r="Q106" s="2174"/>
      <c r="R106" s="2174"/>
      <c r="S106" s="2174"/>
      <c r="T106" s="2174"/>
      <c r="U106" s="2174"/>
      <c r="V106" s="2174"/>
      <c r="W106" s="2174"/>
      <c r="X106" s="2174"/>
      <c r="Y106" s="2174"/>
      <c r="Z106" s="2174"/>
      <c r="AA106" s="2174"/>
      <c r="AB106" s="2174"/>
      <c r="AC106" s="2174"/>
    </row>
    <row r="107" spans="1:29">
      <c r="A107" s="2174"/>
      <c r="B107" s="2174"/>
      <c r="C107" s="2174"/>
      <c r="D107" s="2174"/>
      <c r="E107" s="2174"/>
      <c r="F107" s="2174"/>
      <c r="G107" s="2174"/>
      <c r="H107" s="2174"/>
      <c r="I107" s="2174"/>
      <c r="J107" s="2174"/>
      <c r="K107" s="2175"/>
      <c r="L107" s="2176"/>
      <c r="M107" s="2174"/>
      <c r="N107" s="2174"/>
      <c r="O107" s="2174"/>
      <c r="P107" s="2174"/>
      <c r="Q107" s="2174"/>
      <c r="R107" s="2174"/>
      <c r="S107" s="2174"/>
      <c r="T107" s="2174"/>
      <c r="U107" s="2174"/>
      <c r="V107" s="2174"/>
      <c r="W107" s="2174"/>
      <c r="X107" s="2174"/>
      <c r="Y107" s="2174"/>
      <c r="Z107" s="2174"/>
      <c r="AA107" s="2174"/>
      <c r="AB107" s="2174"/>
      <c r="AC107" s="2174"/>
    </row>
    <row r="108" spans="1:29">
      <c r="A108" s="2174"/>
      <c r="B108" s="2174"/>
      <c r="C108" s="2174"/>
      <c r="D108" s="2174"/>
      <c r="E108" s="2174"/>
      <c r="F108" s="2174"/>
      <c r="G108" s="2174"/>
      <c r="H108" s="2174"/>
      <c r="I108" s="2174"/>
      <c r="J108" s="2174"/>
      <c r="K108" s="2175"/>
      <c r="L108" s="2176"/>
      <c r="M108" s="2174"/>
      <c r="N108" s="2174"/>
      <c r="O108" s="2174"/>
      <c r="P108" s="2174"/>
      <c r="Q108" s="2174"/>
      <c r="R108" s="2174"/>
      <c r="S108" s="2174"/>
      <c r="T108" s="2174"/>
      <c r="U108" s="2174"/>
      <c r="V108" s="2174"/>
      <c r="W108" s="2174"/>
      <c r="X108" s="2174"/>
      <c r="Y108" s="2174"/>
      <c r="Z108" s="2174"/>
      <c r="AA108" s="2174"/>
      <c r="AB108" s="2174"/>
      <c r="AC108" s="2174"/>
    </row>
    <row r="109" spans="1:29">
      <c r="A109" s="2174"/>
      <c r="B109" s="2174"/>
      <c r="C109" s="2174"/>
      <c r="D109" s="2174"/>
      <c r="E109" s="2174"/>
      <c r="F109" s="2174"/>
      <c r="G109" s="2174"/>
      <c r="H109" s="2174"/>
      <c r="I109" s="2174"/>
      <c r="J109" s="2174"/>
      <c r="K109" s="2175"/>
      <c r="L109" s="2176"/>
      <c r="M109" s="2174"/>
      <c r="N109" s="2174"/>
      <c r="O109" s="2174"/>
      <c r="P109" s="2174"/>
      <c r="Q109" s="2174"/>
      <c r="R109" s="2174"/>
      <c r="S109" s="2174"/>
      <c r="T109" s="2174"/>
      <c r="U109" s="2174"/>
      <c r="V109" s="2174"/>
      <c r="W109" s="2174"/>
      <c r="X109" s="2174"/>
      <c r="Y109" s="2174"/>
      <c r="Z109" s="2174"/>
      <c r="AA109" s="2174"/>
      <c r="AB109" s="2174"/>
      <c r="AC109" s="2174"/>
    </row>
    <row r="110" spans="1:29">
      <c r="A110" s="2174"/>
      <c r="B110" s="2174"/>
      <c r="C110" s="2174"/>
      <c r="D110" s="2174"/>
      <c r="E110" s="2174"/>
      <c r="F110" s="2174"/>
      <c r="G110" s="2174"/>
      <c r="H110" s="2174"/>
      <c r="I110" s="2174"/>
      <c r="J110" s="2174"/>
      <c r="K110" s="2175"/>
      <c r="L110" s="2176"/>
      <c r="M110" s="2174"/>
      <c r="N110" s="2174"/>
      <c r="O110" s="2174"/>
      <c r="P110" s="2174"/>
      <c r="Q110" s="2174"/>
      <c r="R110" s="2174"/>
      <c r="S110" s="2174"/>
      <c r="T110" s="2174"/>
      <c r="U110" s="2174"/>
      <c r="V110" s="2174"/>
      <c r="W110" s="2174"/>
      <c r="X110" s="2174"/>
      <c r="Y110" s="2174"/>
      <c r="Z110" s="2174"/>
      <c r="AA110" s="2174"/>
      <c r="AB110" s="2174"/>
      <c r="AC110" s="2174"/>
    </row>
    <row r="111" spans="1:29">
      <c r="A111" s="2174"/>
      <c r="B111" s="2174"/>
      <c r="C111" s="2174"/>
      <c r="D111" s="2174"/>
      <c r="E111" s="2174"/>
      <c r="F111" s="2174"/>
      <c r="G111" s="2174"/>
      <c r="H111" s="2174"/>
      <c r="I111" s="2174"/>
      <c r="J111" s="2174"/>
      <c r="K111" s="2175"/>
      <c r="L111" s="2176"/>
      <c r="M111" s="2174"/>
      <c r="N111" s="2174"/>
      <c r="O111" s="2174"/>
      <c r="P111" s="2174"/>
      <c r="Q111" s="2174"/>
      <c r="R111" s="2174"/>
      <c r="S111" s="2174"/>
      <c r="T111" s="2174"/>
      <c r="U111" s="2174"/>
      <c r="V111" s="2174"/>
      <c r="W111" s="2174"/>
      <c r="X111" s="2174"/>
      <c r="Y111" s="2174"/>
      <c r="Z111" s="2174"/>
      <c r="AA111" s="2174"/>
      <c r="AB111" s="2174"/>
      <c r="AC111" s="2174"/>
    </row>
    <row r="112" spans="1:29">
      <c r="A112" s="2174"/>
      <c r="B112" s="2174"/>
      <c r="C112" s="2174"/>
      <c r="D112" s="2174"/>
      <c r="E112" s="2174"/>
      <c r="F112" s="2174"/>
      <c r="G112" s="2174"/>
      <c r="H112" s="2174"/>
      <c r="I112" s="2174"/>
      <c r="J112" s="2174"/>
      <c r="K112" s="2175"/>
      <c r="L112" s="2176"/>
      <c r="M112" s="2174"/>
      <c r="N112" s="2174"/>
      <c r="O112" s="2174"/>
      <c r="P112" s="2174"/>
      <c r="Q112" s="2174"/>
      <c r="R112" s="2174"/>
      <c r="S112" s="2174"/>
      <c r="T112" s="2174"/>
      <c r="U112" s="2174"/>
      <c r="V112" s="2174"/>
      <c r="W112" s="2174"/>
      <c r="X112" s="2174"/>
      <c r="Y112" s="2174"/>
      <c r="Z112" s="2174"/>
      <c r="AA112" s="2174"/>
      <c r="AB112" s="2174"/>
      <c r="AC112" s="2174"/>
    </row>
    <row r="113" spans="1:29">
      <c r="A113" s="2174"/>
      <c r="B113" s="2174"/>
      <c r="C113" s="2174"/>
      <c r="D113" s="2174"/>
      <c r="E113" s="2174"/>
      <c r="F113" s="2174"/>
      <c r="G113" s="2174"/>
      <c r="H113" s="2174"/>
      <c r="I113" s="2174"/>
      <c r="J113" s="2174"/>
      <c r="K113" s="2175"/>
      <c r="L113" s="2176"/>
      <c r="M113" s="2174"/>
      <c r="N113" s="2174"/>
      <c r="O113" s="2174"/>
      <c r="P113" s="2174"/>
      <c r="Q113" s="2174"/>
      <c r="R113" s="2174"/>
      <c r="S113" s="2174"/>
      <c r="T113" s="2174"/>
      <c r="U113" s="2174"/>
      <c r="V113" s="2174"/>
      <c r="W113" s="2174"/>
      <c r="X113" s="2174"/>
      <c r="Y113" s="2174"/>
      <c r="Z113" s="2174"/>
      <c r="AA113" s="2174"/>
      <c r="AB113" s="2174"/>
      <c r="AC113" s="2174"/>
    </row>
    <row r="114" spans="1:29">
      <c r="A114" s="2174"/>
      <c r="B114" s="2174"/>
      <c r="C114" s="2174"/>
      <c r="D114" s="2174"/>
      <c r="E114" s="2174"/>
      <c r="F114" s="2174"/>
      <c r="G114" s="2174"/>
      <c r="H114" s="2174"/>
      <c r="I114" s="2174"/>
      <c r="J114" s="2174"/>
      <c r="K114" s="2175"/>
      <c r="L114" s="2176"/>
      <c r="M114" s="2174"/>
      <c r="N114" s="2174"/>
      <c r="O114" s="2174"/>
      <c r="P114" s="2174"/>
      <c r="Q114" s="2174"/>
      <c r="R114" s="2174"/>
      <c r="S114" s="2174"/>
      <c r="T114" s="2174"/>
      <c r="U114" s="2174"/>
      <c r="V114" s="2174"/>
      <c r="W114" s="2174"/>
      <c r="X114" s="2174"/>
      <c r="Y114" s="2174"/>
      <c r="Z114" s="2174"/>
      <c r="AA114" s="2174"/>
      <c r="AB114" s="2174"/>
      <c r="AC114" s="2174"/>
    </row>
    <row r="115" spans="1:29">
      <c r="A115" s="2174"/>
      <c r="B115" s="2174"/>
      <c r="C115" s="2174"/>
      <c r="D115" s="2174"/>
      <c r="E115" s="2174"/>
      <c r="F115" s="2174"/>
      <c r="G115" s="2174"/>
      <c r="H115" s="2174"/>
      <c r="I115" s="2174"/>
      <c r="J115" s="2174"/>
      <c r="K115" s="2175"/>
      <c r="L115" s="2176"/>
      <c r="M115" s="2174"/>
      <c r="N115" s="2174"/>
      <c r="O115" s="2174"/>
      <c r="P115" s="2174"/>
      <c r="Q115" s="2174"/>
      <c r="R115" s="2174"/>
      <c r="S115" s="2174"/>
      <c r="T115" s="2174"/>
      <c r="U115" s="2174"/>
      <c r="V115" s="2174"/>
      <c r="W115" s="2174"/>
      <c r="X115" s="2174"/>
      <c r="Y115" s="2174"/>
      <c r="Z115" s="2174"/>
      <c r="AA115" s="2174"/>
      <c r="AB115" s="2174"/>
      <c r="AC115" s="2174"/>
    </row>
    <row r="116" spans="1:29">
      <c r="A116" s="2174"/>
      <c r="B116" s="2174"/>
      <c r="C116" s="2174"/>
      <c r="D116" s="2174"/>
      <c r="E116" s="2174"/>
      <c r="F116" s="2174"/>
      <c r="G116" s="2174"/>
      <c r="H116" s="2174"/>
      <c r="I116" s="2174"/>
      <c r="J116" s="2174"/>
      <c r="K116" s="2175"/>
      <c r="L116" s="2176"/>
      <c r="M116" s="2174"/>
      <c r="N116" s="2174"/>
      <c r="O116" s="2174"/>
      <c r="P116" s="2174"/>
      <c r="Q116" s="2174"/>
      <c r="R116" s="2174"/>
      <c r="S116" s="2174"/>
      <c r="T116" s="2174"/>
      <c r="U116" s="2174"/>
      <c r="V116" s="2174"/>
      <c r="W116" s="2174"/>
      <c r="X116" s="2174"/>
      <c r="Y116" s="2174"/>
      <c r="Z116" s="2174"/>
      <c r="AA116" s="2174"/>
      <c r="AB116" s="2174"/>
      <c r="AC116" s="2174"/>
    </row>
    <row r="117" spans="1:29">
      <c r="A117" s="2174"/>
      <c r="B117" s="2174"/>
      <c r="C117" s="2174"/>
      <c r="D117" s="2174"/>
      <c r="E117" s="2174"/>
      <c r="F117" s="2174"/>
      <c r="G117" s="2174"/>
      <c r="H117" s="2174"/>
      <c r="I117" s="2174"/>
      <c r="J117" s="2174"/>
      <c r="K117" s="2175"/>
      <c r="L117" s="2176"/>
      <c r="M117" s="2174"/>
      <c r="N117" s="2174"/>
      <c r="O117" s="2174"/>
      <c r="P117" s="2174"/>
      <c r="Q117" s="2174"/>
      <c r="R117" s="2174"/>
      <c r="S117" s="2174"/>
      <c r="T117" s="2174"/>
      <c r="U117" s="2174"/>
      <c r="V117" s="2174"/>
      <c r="W117" s="2174"/>
      <c r="X117" s="2174"/>
      <c r="Y117" s="2174"/>
      <c r="Z117" s="2174"/>
      <c r="AA117" s="2174"/>
      <c r="AB117" s="2174"/>
      <c r="AC117" s="2174"/>
    </row>
    <row r="118" spans="1:29">
      <c r="A118" s="2174"/>
      <c r="B118" s="2174"/>
      <c r="C118" s="2174"/>
      <c r="D118" s="2174"/>
      <c r="E118" s="2174"/>
      <c r="F118" s="2174"/>
      <c r="G118" s="2174"/>
      <c r="H118" s="2174"/>
      <c r="I118" s="2174"/>
      <c r="J118" s="2174"/>
      <c r="K118" s="2175"/>
      <c r="L118" s="2176"/>
      <c r="M118" s="2174"/>
      <c r="N118" s="2174"/>
      <c r="O118" s="2174"/>
      <c r="P118" s="2174"/>
      <c r="Q118" s="2174"/>
      <c r="R118" s="2174"/>
      <c r="S118" s="2174"/>
      <c r="T118" s="2174"/>
      <c r="U118" s="2174"/>
      <c r="V118" s="2174"/>
      <c r="W118" s="2174"/>
      <c r="X118" s="2174"/>
      <c r="Y118" s="2174"/>
      <c r="Z118" s="2174"/>
      <c r="AA118" s="2174"/>
      <c r="AB118" s="2174"/>
      <c r="AC118" s="2174"/>
    </row>
    <row r="119" spans="1:29">
      <c r="A119" s="2174"/>
      <c r="B119" s="2174"/>
      <c r="C119" s="2174"/>
      <c r="D119" s="2174"/>
      <c r="E119" s="2174"/>
      <c r="F119" s="2174"/>
      <c r="G119" s="2174"/>
      <c r="H119" s="2174"/>
      <c r="I119" s="2174"/>
      <c r="J119" s="2174"/>
      <c r="K119" s="2175"/>
      <c r="L119" s="2176"/>
      <c r="M119" s="2174"/>
      <c r="N119" s="2174"/>
      <c r="O119" s="2174"/>
      <c r="P119" s="2174"/>
      <c r="Q119" s="2174"/>
      <c r="R119" s="2174"/>
      <c r="S119" s="2174"/>
      <c r="T119" s="2174"/>
      <c r="U119" s="2174"/>
      <c r="V119" s="2174"/>
      <c r="W119" s="2174"/>
      <c r="X119" s="2174"/>
      <c r="Y119" s="2174"/>
      <c r="Z119" s="2174"/>
      <c r="AA119" s="2174"/>
      <c r="AB119" s="2174"/>
      <c r="AC119" s="2174"/>
    </row>
    <row r="120" spans="1:29">
      <c r="A120" s="2174"/>
      <c r="B120" s="2174"/>
      <c r="C120" s="2174"/>
      <c r="D120" s="2174"/>
      <c r="E120" s="2174"/>
      <c r="F120" s="2174"/>
      <c r="G120" s="2174"/>
      <c r="H120" s="2174"/>
      <c r="I120" s="2174"/>
      <c r="J120" s="2174"/>
      <c r="K120" s="2175"/>
      <c r="L120" s="2176"/>
      <c r="M120" s="2174"/>
      <c r="N120" s="2174"/>
      <c r="O120" s="2174"/>
      <c r="P120" s="2174"/>
      <c r="Q120" s="2174"/>
      <c r="R120" s="2174"/>
      <c r="S120" s="2174"/>
      <c r="T120" s="2174"/>
      <c r="U120" s="2174"/>
      <c r="V120" s="2174"/>
      <c r="W120" s="2174"/>
      <c r="X120" s="2174"/>
      <c r="Y120" s="2174"/>
      <c r="Z120" s="2174"/>
      <c r="AA120" s="2174"/>
      <c r="AB120" s="2174"/>
      <c r="AC120" s="2174"/>
    </row>
    <row r="121" spans="1:29">
      <c r="A121" s="2174"/>
      <c r="B121" s="2174"/>
      <c r="C121" s="2174"/>
      <c r="D121" s="2174"/>
      <c r="E121" s="2174"/>
      <c r="F121" s="2174"/>
      <c r="G121" s="2174"/>
      <c r="H121" s="2174"/>
      <c r="I121" s="2174"/>
      <c r="J121" s="2174"/>
      <c r="K121" s="2175"/>
      <c r="L121" s="2176"/>
      <c r="M121" s="2174"/>
      <c r="N121" s="2174"/>
      <c r="O121" s="2174"/>
      <c r="P121" s="2174"/>
      <c r="Q121" s="2174"/>
      <c r="R121" s="2174"/>
      <c r="S121" s="2174"/>
      <c r="T121" s="2174"/>
      <c r="U121" s="2174"/>
      <c r="V121" s="2174"/>
      <c r="W121" s="2174"/>
      <c r="X121" s="2174"/>
      <c r="Y121" s="2174"/>
      <c r="Z121" s="2174"/>
      <c r="AA121" s="2174"/>
      <c r="AB121" s="2174"/>
      <c r="AC121" s="2174"/>
    </row>
    <row r="122" spans="1:29">
      <c r="A122" s="2174"/>
      <c r="B122" s="2174"/>
      <c r="C122" s="2174"/>
      <c r="D122" s="2174"/>
      <c r="E122" s="2174"/>
      <c r="F122" s="2174"/>
      <c r="G122" s="2174"/>
      <c r="H122" s="2174"/>
      <c r="I122" s="2174"/>
      <c r="J122" s="2174"/>
      <c r="K122" s="2175"/>
      <c r="L122" s="2176"/>
      <c r="M122" s="2174"/>
      <c r="N122" s="2174"/>
      <c r="O122" s="2174"/>
      <c r="P122" s="2174"/>
      <c r="Q122" s="2174"/>
      <c r="R122" s="2174"/>
      <c r="S122" s="2174"/>
      <c r="T122" s="2174"/>
      <c r="U122" s="2174"/>
      <c r="V122" s="2174"/>
      <c r="W122" s="2174"/>
      <c r="X122" s="2174"/>
      <c r="Y122" s="2174"/>
      <c r="Z122" s="2174"/>
      <c r="AA122" s="2174"/>
      <c r="AB122" s="2174"/>
      <c r="AC122" s="2174"/>
    </row>
    <row r="123" spans="1:29">
      <c r="A123" s="2174"/>
      <c r="B123" s="2174"/>
      <c r="C123" s="2174"/>
      <c r="D123" s="2174"/>
      <c r="E123" s="2174"/>
      <c r="F123" s="2174"/>
      <c r="G123" s="2174"/>
      <c r="H123" s="2174"/>
      <c r="I123" s="2174"/>
      <c r="J123" s="2174"/>
      <c r="K123" s="2175"/>
      <c r="L123" s="2176"/>
      <c r="M123" s="2174"/>
      <c r="N123" s="2174"/>
      <c r="O123" s="2174"/>
      <c r="P123" s="2174"/>
      <c r="Q123" s="2174"/>
      <c r="R123" s="2174"/>
      <c r="S123" s="2174"/>
      <c r="T123" s="2174"/>
      <c r="U123" s="2174"/>
      <c r="V123" s="2174"/>
      <c r="W123" s="2174"/>
      <c r="X123" s="2174"/>
      <c r="Y123" s="2174"/>
      <c r="Z123" s="2174"/>
      <c r="AA123" s="2174"/>
      <c r="AB123" s="2174"/>
      <c r="AC123" s="2174"/>
    </row>
    <row r="124" spans="1:29">
      <c r="A124" s="2174"/>
      <c r="B124" s="2174"/>
      <c r="C124" s="2174"/>
      <c r="D124" s="2174"/>
      <c r="E124" s="2174"/>
      <c r="F124" s="2174"/>
      <c r="G124" s="2174"/>
      <c r="H124" s="2174"/>
      <c r="I124" s="2174"/>
      <c r="J124" s="2174"/>
      <c r="K124" s="2175"/>
      <c r="L124" s="2176"/>
      <c r="M124" s="2174"/>
      <c r="N124" s="2174"/>
      <c r="O124" s="2174"/>
      <c r="P124" s="2174"/>
      <c r="Q124" s="2174"/>
      <c r="R124" s="2174"/>
      <c r="S124" s="2174"/>
      <c r="T124" s="2174"/>
      <c r="U124" s="2174"/>
      <c r="V124" s="2174"/>
      <c r="W124" s="2174"/>
      <c r="X124" s="2174"/>
      <c r="Y124" s="2174"/>
      <c r="Z124" s="2174"/>
      <c r="AA124" s="2174"/>
      <c r="AB124" s="2174"/>
      <c r="AC124" s="2174"/>
    </row>
    <row r="125" spans="1:29">
      <c r="A125" s="2174"/>
      <c r="B125" s="2174"/>
      <c r="C125" s="2174"/>
      <c r="D125" s="2174"/>
      <c r="E125" s="2174"/>
      <c r="F125" s="2174"/>
      <c r="G125" s="2174"/>
      <c r="H125" s="2174"/>
      <c r="I125" s="2174"/>
      <c r="J125" s="2174"/>
      <c r="K125" s="2175"/>
      <c r="L125" s="2176"/>
      <c r="M125" s="2174"/>
      <c r="N125" s="2174"/>
      <c r="O125" s="2174"/>
      <c r="P125" s="2174"/>
      <c r="Q125" s="2174"/>
      <c r="R125" s="2174"/>
      <c r="S125" s="2174"/>
      <c r="T125" s="2174"/>
      <c r="U125" s="2174"/>
      <c r="V125" s="2174"/>
      <c r="W125" s="2174"/>
      <c r="X125" s="2174"/>
      <c r="Y125" s="2174"/>
      <c r="Z125" s="2174"/>
      <c r="AA125" s="2174"/>
      <c r="AB125" s="2174"/>
      <c r="AC125" s="2174"/>
    </row>
    <row r="126" spans="1:29">
      <c r="A126" s="2174"/>
      <c r="B126" s="2174"/>
      <c r="C126" s="2174"/>
      <c r="D126" s="2174"/>
      <c r="E126" s="2174"/>
      <c r="F126" s="2174"/>
      <c r="G126" s="2174"/>
      <c r="H126" s="2174"/>
      <c r="I126" s="2174"/>
      <c r="J126" s="2174"/>
      <c r="K126" s="2175"/>
      <c r="L126" s="2176"/>
      <c r="M126" s="2174"/>
      <c r="N126" s="2174"/>
      <c r="O126" s="2174"/>
      <c r="P126" s="2174"/>
      <c r="Q126" s="2174"/>
      <c r="R126" s="2174"/>
      <c r="S126" s="2174"/>
      <c r="T126" s="2174"/>
      <c r="U126" s="2174"/>
      <c r="V126" s="2174"/>
      <c r="W126" s="2174"/>
      <c r="X126" s="2174"/>
      <c r="Y126" s="2174"/>
      <c r="Z126" s="2174"/>
      <c r="AA126" s="2174"/>
      <c r="AB126" s="2174"/>
      <c r="AC126" s="2174"/>
    </row>
    <row r="127" spans="1:29">
      <c r="A127" s="2174"/>
      <c r="B127" s="2174"/>
      <c r="C127" s="2174"/>
      <c r="D127" s="2174"/>
      <c r="E127" s="2174"/>
      <c r="F127" s="2174"/>
      <c r="G127" s="2174"/>
      <c r="H127" s="2174"/>
      <c r="I127" s="2174"/>
      <c r="J127" s="2174"/>
      <c r="K127" s="2175"/>
      <c r="L127" s="2176"/>
      <c r="M127" s="2174"/>
      <c r="N127" s="2174"/>
      <c r="O127" s="2174"/>
      <c r="P127" s="2174"/>
      <c r="Q127" s="2174"/>
      <c r="R127" s="2174"/>
      <c r="S127" s="2174"/>
      <c r="T127" s="2174"/>
      <c r="U127" s="2174"/>
      <c r="V127" s="2174"/>
      <c r="W127" s="2174"/>
      <c r="X127" s="2174"/>
      <c r="Y127" s="2174"/>
      <c r="Z127" s="2174"/>
      <c r="AA127" s="2174"/>
      <c r="AB127" s="2174"/>
      <c r="AC127" s="2174"/>
    </row>
    <row r="128" spans="1:29">
      <c r="A128" s="2174"/>
      <c r="B128" s="2174"/>
      <c r="C128" s="2174"/>
      <c r="D128" s="2174"/>
      <c r="E128" s="2174"/>
      <c r="F128" s="2174"/>
      <c r="G128" s="2174"/>
      <c r="H128" s="2174"/>
      <c r="I128" s="2174"/>
      <c r="J128" s="2174"/>
      <c r="K128" s="2175"/>
      <c r="L128" s="2176"/>
      <c r="M128" s="2174"/>
      <c r="N128" s="2174"/>
      <c r="O128" s="2174"/>
      <c r="P128" s="2174"/>
      <c r="Q128" s="2174"/>
      <c r="R128" s="2174"/>
      <c r="S128" s="2174"/>
      <c r="T128" s="2174"/>
      <c r="U128" s="2174"/>
      <c r="V128" s="2174"/>
      <c r="W128" s="2174"/>
      <c r="X128" s="2174"/>
      <c r="Y128" s="2174"/>
      <c r="Z128" s="2174"/>
      <c r="AA128" s="2174"/>
      <c r="AB128" s="2174"/>
      <c r="AC128" s="2174"/>
    </row>
    <row r="129" spans="1:29">
      <c r="A129" s="2174"/>
      <c r="B129" s="2174"/>
      <c r="C129" s="2174"/>
      <c r="D129" s="2174"/>
      <c r="E129" s="2174"/>
      <c r="F129" s="2174"/>
      <c r="G129" s="2174"/>
      <c r="H129" s="2174"/>
      <c r="I129" s="2174"/>
      <c r="J129" s="2174"/>
      <c r="K129" s="2175"/>
      <c r="L129" s="2176"/>
      <c r="M129" s="2174"/>
      <c r="N129" s="2174"/>
      <c r="O129" s="2174"/>
      <c r="P129" s="2174"/>
      <c r="Q129" s="2174"/>
      <c r="R129" s="2174"/>
      <c r="S129" s="2174"/>
      <c r="T129" s="2174"/>
      <c r="U129" s="2174"/>
      <c r="V129" s="2174"/>
      <c r="W129" s="2174"/>
      <c r="X129" s="2174"/>
      <c r="Y129" s="2174"/>
      <c r="Z129" s="2174"/>
      <c r="AA129" s="2174"/>
      <c r="AB129" s="2174"/>
      <c r="AC129" s="2174"/>
    </row>
    <row r="130" spans="1:29">
      <c r="A130" s="2174"/>
      <c r="B130" s="2174"/>
      <c r="C130" s="2174"/>
      <c r="D130" s="2174"/>
      <c r="E130" s="2174"/>
      <c r="F130" s="2174"/>
      <c r="G130" s="2174"/>
      <c r="H130" s="2174"/>
      <c r="I130" s="2174"/>
      <c r="J130" s="2174"/>
      <c r="K130" s="2175"/>
      <c r="L130" s="2176"/>
      <c r="M130" s="2174"/>
      <c r="N130" s="2174"/>
      <c r="O130" s="2174"/>
      <c r="P130" s="2174"/>
      <c r="Q130" s="2174"/>
      <c r="R130" s="2174"/>
      <c r="S130" s="2174"/>
      <c r="T130" s="2174"/>
      <c r="U130" s="2174"/>
      <c r="V130" s="2174"/>
      <c r="W130" s="2174"/>
      <c r="X130" s="2174"/>
      <c r="Y130" s="2174"/>
      <c r="Z130" s="2174"/>
      <c r="AA130" s="2174"/>
      <c r="AB130" s="2174"/>
      <c r="AC130" s="2174"/>
    </row>
    <row r="131" spans="1:29">
      <c r="A131" s="2174"/>
      <c r="B131" s="2174"/>
      <c r="C131" s="2174"/>
      <c r="D131" s="2174"/>
      <c r="E131" s="2174"/>
      <c r="F131" s="2174"/>
      <c r="G131" s="2174"/>
      <c r="H131" s="2174"/>
      <c r="I131" s="2174"/>
      <c r="J131" s="2174"/>
      <c r="K131" s="2175"/>
      <c r="L131" s="2176"/>
      <c r="M131" s="2174"/>
      <c r="N131" s="2174"/>
      <c r="O131" s="2174"/>
      <c r="P131" s="2174"/>
      <c r="Q131" s="2174"/>
      <c r="R131" s="2174"/>
      <c r="S131" s="2174"/>
      <c r="T131" s="2174"/>
      <c r="U131" s="2174"/>
      <c r="V131" s="2174"/>
      <c r="W131" s="2174"/>
      <c r="X131" s="2174"/>
      <c r="Y131" s="2174"/>
      <c r="Z131" s="2174"/>
      <c r="AA131" s="2174"/>
      <c r="AB131" s="2174"/>
      <c r="AC131" s="2174"/>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11"/>
    <col min="19" max="19" width="9" style="1245"/>
    <col min="20" max="35" width="9" style="252"/>
    <col min="36" max="16384" width="9" style="1245"/>
  </cols>
  <sheetData>
    <row r="1" spans="1:45" s="252" customFormat="1" ht="14.25" customHeight="1" thickBot="1">
      <c r="A1" s="363"/>
      <c r="B1" s="2229" t="s">
        <v>2298</v>
      </c>
      <c r="C1" s="3574" t="s">
        <v>2299</v>
      </c>
      <c r="D1" s="3575"/>
      <c r="E1" s="3575"/>
      <c r="F1" s="3575"/>
      <c r="G1" s="3575"/>
      <c r="H1" s="3575"/>
      <c r="I1" s="3575"/>
      <c r="J1" s="3575"/>
      <c r="K1" s="3575"/>
      <c r="L1" s="3575"/>
      <c r="M1" s="3575"/>
      <c r="N1" s="3575"/>
      <c r="O1" s="3575"/>
      <c r="P1" s="3575"/>
      <c r="Q1" s="3575"/>
      <c r="R1" s="3575"/>
      <c r="S1" s="3576"/>
      <c r="T1" s="2229" t="s">
        <v>2300</v>
      </c>
      <c r="U1" s="2036"/>
      <c r="V1" s="2036"/>
      <c r="W1" s="2036"/>
      <c r="X1" s="2036"/>
      <c r="Y1" s="2036"/>
      <c r="Z1" s="2036"/>
      <c r="AA1" s="2036"/>
      <c r="AB1" s="2036"/>
      <c r="AC1" s="2036"/>
      <c r="AD1" s="2036"/>
      <c r="AE1" s="2036"/>
      <c r="AF1" s="2036"/>
      <c r="AG1" s="2036"/>
      <c r="AH1" s="2036"/>
      <c r="AI1" s="2036"/>
      <c r="AJ1" s="2036"/>
      <c r="AK1" s="2036"/>
      <c r="AL1" s="2036"/>
      <c r="AM1" s="2036"/>
      <c r="AN1" s="2036"/>
      <c r="AO1" s="2036"/>
      <c r="AP1" s="2036"/>
      <c r="AQ1" s="2036"/>
      <c r="AR1" s="2036"/>
      <c r="AS1" s="2036"/>
    </row>
    <row r="2" spans="1:45" s="1965" customFormat="1">
      <c r="A2" s="2230"/>
      <c r="B2" s="944" t="s">
        <v>2301</v>
      </c>
      <c r="C2" s="945" t="str">
        <f t="shared" ref="C2:L2" si="0">C3&amp;"(含)"&amp;"-"&amp;D3</f>
        <v>(含)-</v>
      </c>
      <c r="D2" s="946" t="str">
        <f t="shared" si="0"/>
        <v>(含)-</v>
      </c>
      <c r="E2" s="946" t="str">
        <f t="shared" si="0"/>
        <v>(含)-</v>
      </c>
      <c r="F2" s="946" t="str">
        <f t="shared" si="0"/>
        <v>(含)-</v>
      </c>
      <c r="G2" s="946" t="str">
        <f t="shared" si="0"/>
        <v>(含)-</v>
      </c>
      <c r="H2" s="946" t="str">
        <f t="shared" si="0"/>
        <v>(含)-</v>
      </c>
      <c r="I2" s="946" t="str">
        <f t="shared" si="0"/>
        <v>(含)-</v>
      </c>
      <c r="J2" s="946" t="str">
        <f t="shared" si="0"/>
        <v>(含)-</v>
      </c>
      <c r="K2" s="946" t="str">
        <f t="shared" si="0"/>
        <v>(含)-</v>
      </c>
      <c r="L2" s="946" t="str">
        <f t="shared" si="0"/>
        <v>(含)-</v>
      </c>
      <c r="M2" s="946" t="str">
        <f t="shared" ref="M2" si="1">M3&amp;"(含)"&amp;"-"&amp;N3</f>
        <v>(含)-</v>
      </c>
      <c r="N2" s="946" t="str">
        <f t="shared" ref="N2" si="2">N3&amp;"(含)"&amp;"-"&amp;O3</f>
        <v>(含)-</v>
      </c>
      <c r="O2" s="946" t="str">
        <f t="shared" ref="O2" si="3">O3&amp;"(含)"&amp;"-"&amp;P3</f>
        <v>(含)-</v>
      </c>
      <c r="P2" s="946" t="str">
        <f t="shared" ref="P2" si="4">P3&amp;"(含)"&amp;"-"&amp;Q3</f>
        <v>(含)-</v>
      </c>
      <c r="Q2" s="946" t="str">
        <f t="shared" ref="Q2" si="5">Q3&amp;"(含)"&amp;"-"&amp;R3</f>
        <v>(含)-</v>
      </c>
      <c r="R2" s="946" t="str">
        <f t="shared" ref="R2" si="6">R3&amp;"(含)"&amp;"-"&amp;S3</f>
        <v>(含)-</v>
      </c>
      <c r="S2" s="2231" t="str">
        <f>S3&amp;"(含)"&amp;"-"</f>
        <v>(含)-</v>
      </c>
      <c r="T2" s="947"/>
      <c r="U2" s="2232"/>
      <c r="V2" s="2232"/>
      <c r="W2" s="2232"/>
      <c r="X2" s="2232"/>
      <c r="Y2" s="2232"/>
      <c r="Z2" s="2232"/>
      <c r="AA2" s="2232"/>
      <c r="AB2" s="2232"/>
      <c r="AC2" s="2232"/>
      <c r="AD2" s="2232"/>
      <c r="AE2" s="2232"/>
      <c r="AF2" s="2232"/>
      <c r="AG2" s="2232"/>
      <c r="AH2" s="2232"/>
      <c r="AI2" s="2232"/>
      <c r="AJ2" s="2232"/>
      <c r="AK2" s="2232"/>
      <c r="AL2" s="2232"/>
      <c r="AM2" s="2232"/>
      <c r="AN2" s="2232"/>
      <c r="AO2" s="2232"/>
      <c r="AP2" s="2232"/>
      <c r="AQ2" s="2232"/>
      <c r="AR2" s="2232"/>
      <c r="AS2" s="2232"/>
    </row>
    <row r="3" spans="1:45" s="1966" customFormat="1">
      <c r="A3" s="2233"/>
      <c r="B3" s="948"/>
      <c r="C3" s="949"/>
      <c r="D3" s="950"/>
      <c r="E3" s="950"/>
      <c r="F3" s="950"/>
      <c r="G3" s="950"/>
      <c r="H3" s="950"/>
      <c r="I3" s="950"/>
      <c r="J3" s="951"/>
      <c r="K3" s="951"/>
      <c r="L3" s="952"/>
      <c r="M3" s="2234"/>
      <c r="N3" s="2235"/>
      <c r="O3" s="950"/>
      <c r="P3" s="950"/>
      <c r="Q3" s="950"/>
      <c r="R3" s="950"/>
      <c r="S3" s="2236"/>
      <c r="T3" s="953"/>
      <c r="U3" s="2237"/>
      <c r="V3" s="2237"/>
      <c r="W3" s="2237"/>
      <c r="X3" s="2237"/>
      <c r="Y3" s="2237"/>
      <c r="Z3" s="2237"/>
      <c r="AA3" s="2237"/>
      <c r="AB3" s="2237"/>
      <c r="AC3" s="2237"/>
      <c r="AD3" s="2237"/>
      <c r="AE3" s="2237"/>
      <c r="AF3" s="2237"/>
      <c r="AG3" s="2237"/>
      <c r="AH3" s="2237"/>
      <c r="AI3" s="2237"/>
      <c r="AJ3" s="2237"/>
      <c r="AK3" s="2237"/>
      <c r="AL3" s="2237"/>
      <c r="AM3" s="2237"/>
      <c r="AN3" s="2237"/>
      <c r="AO3" s="2237"/>
      <c r="AP3" s="2237"/>
      <c r="AQ3" s="2237"/>
      <c r="AR3" s="2237"/>
      <c r="AS3" s="2237"/>
    </row>
    <row r="4" spans="1:45" s="1966" customFormat="1" ht="13.5" thickBot="1">
      <c r="A4" s="2238"/>
      <c r="B4" s="2239"/>
      <c r="C4" s="2240"/>
      <c r="D4" s="2241"/>
      <c r="E4" s="2241"/>
      <c r="F4" s="2241"/>
      <c r="G4" s="2241"/>
      <c r="H4" s="2241"/>
      <c r="I4" s="2241"/>
      <c r="J4" s="2241"/>
      <c r="K4" s="2241"/>
      <c r="L4" s="2241"/>
      <c r="M4" s="2242"/>
      <c r="N4" s="2243"/>
      <c r="O4" s="2241"/>
      <c r="P4" s="2241"/>
      <c r="Q4" s="2241"/>
      <c r="R4" s="2241"/>
      <c r="S4" s="2244"/>
      <c r="T4" s="2245"/>
      <c r="U4" s="2237"/>
      <c r="V4" s="2237"/>
      <c r="W4" s="2237"/>
      <c r="X4" s="2237"/>
      <c r="Y4" s="2237"/>
      <c r="Z4" s="2237"/>
      <c r="AA4" s="2237"/>
      <c r="AB4" s="2237"/>
      <c r="AC4" s="2237"/>
      <c r="AD4" s="2237"/>
      <c r="AE4" s="2237"/>
      <c r="AF4" s="2237"/>
      <c r="AG4" s="2237"/>
      <c r="AH4" s="2237"/>
      <c r="AI4" s="2237"/>
      <c r="AJ4" s="2237"/>
      <c r="AK4" s="2237"/>
      <c r="AL4" s="2237"/>
      <c r="AM4" s="2237"/>
      <c r="AN4" s="2237"/>
      <c r="AO4" s="2237"/>
      <c r="AP4" s="2237"/>
      <c r="AQ4" s="2237"/>
      <c r="AR4" s="2237"/>
      <c r="AS4" s="2237"/>
    </row>
    <row r="5" spans="1:45" s="1967" customFormat="1">
      <c r="A5" s="2246"/>
      <c r="B5" s="3106" t="s">
        <v>2922</v>
      </c>
      <c r="C5" s="2247"/>
      <c r="D5" s="2248"/>
      <c r="E5" s="2248"/>
      <c r="F5" s="2248"/>
      <c r="G5" s="2248"/>
      <c r="H5" s="2248"/>
      <c r="I5" s="2248"/>
      <c r="J5" s="2248"/>
      <c r="K5" s="2248"/>
      <c r="L5" s="2249"/>
      <c r="M5" s="2250"/>
      <c r="N5" s="2250"/>
      <c r="O5" s="2248"/>
      <c r="P5" s="2248"/>
      <c r="Q5" s="2248"/>
      <c r="R5" s="2248"/>
      <c r="S5" s="2251"/>
      <c r="T5" s="2252"/>
      <c r="U5" s="2253"/>
      <c r="V5" s="2253"/>
      <c r="W5" s="2253"/>
      <c r="X5" s="2253"/>
      <c r="Y5" s="2253"/>
      <c r="Z5" s="2253"/>
      <c r="AA5" s="2253"/>
      <c r="AB5" s="2253"/>
      <c r="AC5" s="2253"/>
      <c r="AD5" s="2253"/>
      <c r="AE5" s="2253"/>
      <c r="AF5" s="2253"/>
      <c r="AG5" s="2253"/>
      <c r="AH5" s="2253"/>
      <c r="AI5" s="2253"/>
      <c r="AJ5" s="2253"/>
      <c r="AK5" s="2253"/>
      <c r="AL5" s="2253"/>
      <c r="AM5" s="2253"/>
      <c r="AN5" s="2253"/>
      <c r="AO5" s="2253"/>
      <c r="AP5" s="2253"/>
      <c r="AQ5" s="2253"/>
      <c r="AR5" s="2253"/>
      <c r="AS5" s="2253"/>
    </row>
    <row r="6" spans="1:45" s="1967" customFormat="1" ht="13.5" thickBot="1">
      <c r="A6" s="2246"/>
      <c r="B6" s="1959"/>
      <c r="C6" s="1963">
        <v>100</v>
      </c>
      <c r="D6" s="1964">
        <f>C6-$T5</f>
        <v>100</v>
      </c>
      <c r="E6" s="1964">
        <f t="shared" ref="E6:S6" si="7">D6-$T5</f>
        <v>100</v>
      </c>
      <c r="F6" s="1964">
        <f t="shared" si="7"/>
        <v>100</v>
      </c>
      <c r="G6" s="1964">
        <f t="shared" si="7"/>
        <v>100</v>
      </c>
      <c r="H6" s="1964">
        <f t="shared" si="7"/>
        <v>100</v>
      </c>
      <c r="I6" s="1964">
        <f t="shared" si="7"/>
        <v>100</v>
      </c>
      <c r="J6" s="1964">
        <f t="shared" si="7"/>
        <v>100</v>
      </c>
      <c r="K6" s="1964">
        <f t="shared" si="7"/>
        <v>100</v>
      </c>
      <c r="L6" s="1964">
        <f t="shared" si="7"/>
        <v>100</v>
      </c>
      <c r="M6" s="1964">
        <f t="shared" si="7"/>
        <v>100</v>
      </c>
      <c r="N6" s="1964">
        <f t="shared" si="7"/>
        <v>100</v>
      </c>
      <c r="O6" s="1964">
        <f t="shared" si="7"/>
        <v>100</v>
      </c>
      <c r="P6" s="1964">
        <f t="shared" si="7"/>
        <v>100</v>
      </c>
      <c r="Q6" s="1964">
        <f t="shared" si="7"/>
        <v>100</v>
      </c>
      <c r="R6" s="1964">
        <f t="shared" si="7"/>
        <v>100</v>
      </c>
      <c r="S6" s="1964">
        <f t="shared" si="7"/>
        <v>100</v>
      </c>
      <c r="T6" s="1962"/>
      <c r="U6" s="2253"/>
      <c r="V6" s="2253"/>
      <c r="W6" s="2253"/>
      <c r="X6" s="2253"/>
      <c r="Y6" s="2253"/>
      <c r="Z6" s="2253"/>
      <c r="AA6" s="2253"/>
      <c r="AB6" s="2253"/>
      <c r="AC6" s="2253"/>
      <c r="AD6" s="2253"/>
      <c r="AE6" s="2253"/>
      <c r="AF6" s="2253"/>
      <c r="AG6" s="2253"/>
      <c r="AH6" s="2253"/>
      <c r="AI6" s="2253"/>
      <c r="AJ6" s="2253"/>
      <c r="AK6" s="2253"/>
      <c r="AL6" s="2253"/>
      <c r="AM6" s="2253"/>
      <c r="AN6" s="2253"/>
      <c r="AO6" s="2253"/>
      <c r="AP6" s="2253"/>
      <c r="AQ6" s="2253"/>
      <c r="AR6" s="2253"/>
      <c r="AS6" s="2253"/>
    </row>
    <row r="7" spans="1:45" s="1967" customFormat="1">
      <c r="A7" s="2246"/>
      <c r="B7" s="3108" t="s">
        <v>2921</v>
      </c>
      <c r="C7" s="1956"/>
      <c r="D7" s="1957"/>
      <c r="E7" s="1957"/>
      <c r="F7" s="1957"/>
      <c r="G7" s="1957"/>
      <c r="H7" s="1957"/>
      <c r="I7" s="1957"/>
      <c r="J7" s="1957"/>
      <c r="K7" s="1957"/>
      <c r="L7" s="1957"/>
      <c r="M7" s="2254"/>
      <c r="N7" s="2255"/>
      <c r="O7" s="2256"/>
      <c r="P7" s="2257"/>
      <c r="Q7" s="2258"/>
      <c r="R7" s="2259"/>
      <c r="S7" s="2260"/>
      <c r="T7" s="954"/>
      <c r="U7" s="2253"/>
      <c r="V7" s="2253"/>
      <c r="W7" s="2253"/>
      <c r="X7" s="2253"/>
      <c r="Y7" s="2253"/>
      <c r="Z7" s="2253"/>
      <c r="AA7" s="2253"/>
      <c r="AB7" s="2253"/>
      <c r="AC7" s="2253"/>
      <c r="AD7" s="2253"/>
      <c r="AE7" s="2253"/>
      <c r="AF7" s="2253"/>
      <c r="AG7" s="2253"/>
      <c r="AH7" s="2253"/>
      <c r="AI7" s="2253"/>
      <c r="AJ7" s="2253"/>
      <c r="AK7" s="2253"/>
      <c r="AL7" s="2253"/>
      <c r="AM7" s="2253"/>
      <c r="AN7" s="2253"/>
      <c r="AO7" s="2253"/>
      <c r="AP7" s="2253"/>
      <c r="AQ7" s="2253"/>
      <c r="AR7" s="2253"/>
      <c r="AS7" s="2253"/>
    </row>
    <row r="8" spans="1:45" s="1967" customFormat="1" ht="13.5" thickBot="1">
      <c r="A8" s="2246"/>
      <c r="B8" s="1959"/>
      <c r="C8" s="1963">
        <v>100</v>
      </c>
      <c r="D8" s="1964">
        <f>C8-$T7</f>
        <v>100</v>
      </c>
      <c r="E8" s="1964">
        <f t="shared" ref="E8:S8" si="8">D8-$T7</f>
        <v>100</v>
      </c>
      <c r="F8" s="1964">
        <f t="shared" si="8"/>
        <v>100</v>
      </c>
      <c r="G8" s="1964">
        <f t="shared" si="8"/>
        <v>100</v>
      </c>
      <c r="H8" s="1964">
        <f t="shared" si="8"/>
        <v>100</v>
      </c>
      <c r="I8" s="1964">
        <f t="shared" si="8"/>
        <v>100</v>
      </c>
      <c r="J8" s="1964">
        <f t="shared" si="8"/>
        <v>100</v>
      </c>
      <c r="K8" s="1964">
        <f t="shared" si="8"/>
        <v>100</v>
      </c>
      <c r="L8" s="1964">
        <f t="shared" si="8"/>
        <v>100</v>
      </c>
      <c r="M8" s="1964">
        <f t="shared" si="8"/>
        <v>100</v>
      </c>
      <c r="N8" s="1964">
        <f t="shared" si="8"/>
        <v>100</v>
      </c>
      <c r="O8" s="1964">
        <f t="shared" si="8"/>
        <v>100</v>
      </c>
      <c r="P8" s="1964">
        <f t="shared" si="8"/>
        <v>100</v>
      </c>
      <c r="Q8" s="1964">
        <f t="shared" si="8"/>
        <v>100</v>
      </c>
      <c r="R8" s="1964">
        <f t="shared" si="8"/>
        <v>100</v>
      </c>
      <c r="S8" s="1964">
        <f t="shared" si="8"/>
        <v>100</v>
      </c>
      <c r="T8" s="1962"/>
      <c r="U8" s="2253"/>
      <c r="V8" s="2253"/>
      <c r="W8" s="2253"/>
      <c r="X8" s="2253"/>
      <c r="Y8" s="2253"/>
      <c r="Z8" s="2253"/>
      <c r="AA8" s="2253"/>
      <c r="AB8" s="2253"/>
      <c r="AC8" s="2253"/>
      <c r="AD8" s="2253"/>
      <c r="AE8" s="2253"/>
      <c r="AF8" s="2253"/>
      <c r="AG8" s="2253"/>
      <c r="AH8" s="2253"/>
      <c r="AI8" s="2253"/>
      <c r="AJ8" s="2253"/>
      <c r="AK8" s="2253"/>
      <c r="AL8" s="2253"/>
      <c r="AM8" s="2253"/>
      <c r="AN8" s="2253"/>
      <c r="AO8" s="2253"/>
      <c r="AP8" s="2253"/>
      <c r="AQ8" s="2253"/>
      <c r="AR8" s="2253"/>
      <c r="AS8" s="2253"/>
    </row>
    <row r="9" spans="1:45" s="1967" customFormat="1">
      <c r="A9" s="2246"/>
      <c r="B9" s="3108" t="s">
        <v>2920</v>
      </c>
      <c r="C9" s="1956"/>
      <c r="D9" s="1957"/>
      <c r="E9" s="1957"/>
      <c r="F9" s="1957"/>
      <c r="G9" s="1957"/>
      <c r="H9" s="1957"/>
      <c r="I9" s="1957"/>
      <c r="J9" s="1957"/>
      <c r="K9" s="1957"/>
      <c r="L9" s="1958"/>
      <c r="M9" s="2254"/>
      <c r="N9" s="2255"/>
      <c r="O9" s="2256"/>
      <c r="P9" s="2257"/>
      <c r="Q9" s="2258"/>
      <c r="R9" s="2259"/>
      <c r="S9" s="2260"/>
      <c r="T9" s="954"/>
      <c r="U9" s="2253"/>
      <c r="V9" s="2253"/>
      <c r="W9" s="2253"/>
      <c r="X9" s="2253"/>
      <c r="Y9" s="2253"/>
      <c r="Z9" s="2253"/>
      <c r="AA9" s="2253"/>
      <c r="AB9" s="2253"/>
      <c r="AC9" s="2253"/>
      <c r="AD9" s="2253"/>
      <c r="AE9" s="2253"/>
      <c r="AF9" s="2253"/>
      <c r="AG9" s="2253"/>
      <c r="AH9" s="2253"/>
      <c r="AI9" s="2253"/>
      <c r="AJ9" s="2253"/>
      <c r="AK9" s="2253"/>
      <c r="AL9" s="2253"/>
      <c r="AM9" s="2253"/>
      <c r="AN9" s="2253"/>
      <c r="AO9" s="2253"/>
      <c r="AP9" s="2253"/>
      <c r="AQ9" s="2253"/>
      <c r="AR9" s="2253"/>
      <c r="AS9" s="2253"/>
    </row>
    <row r="10" spans="1:45" s="1967" customFormat="1" ht="13.5" thickBot="1">
      <c r="A10" s="2246"/>
      <c r="B10" s="3107"/>
      <c r="C10" s="2261">
        <v>100</v>
      </c>
      <c r="D10" s="2262">
        <f>C10-$T9</f>
        <v>100</v>
      </c>
      <c r="E10" s="2262">
        <f t="shared" ref="E10:S10" si="9">D10-$T9</f>
        <v>100</v>
      </c>
      <c r="F10" s="2262">
        <f t="shared" si="9"/>
        <v>100</v>
      </c>
      <c r="G10" s="2262">
        <f t="shared" si="9"/>
        <v>100</v>
      </c>
      <c r="H10" s="2262">
        <f t="shared" si="9"/>
        <v>100</v>
      </c>
      <c r="I10" s="2262">
        <f t="shared" si="9"/>
        <v>100</v>
      </c>
      <c r="J10" s="2262">
        <f t="shared" si="9"/>
        <v>100</v>
      </c>
      <c r="K10" s="2262">
        <f t="shared" si="9"/>
        <v>100</v>
      </c>
      <c r="L10" s="2262">
        <f t="shared" si="9"/>
        <v>100</v>
      </c>
      <c r="M10" s="2262">
        <f t="shared" si="9"/>
        <v>100</v>
      </c>
      <c r="N10" s="2262">
        <f t="shared" si="9"/>
        <v>100</v>
      </c>
      <c r="O10" s="2262">
        <f t="shared" si="9"/>
        <v>100</v>
      </c>
      <c r="P10" s="2262">
        <f t="shared" si="9"/>
        <v>100</v>
      </c>
      <c r="Q10" s="2262">
        <f t="shared" si="9"/>
        <v>100</v>
      </c>
      <c r="R10" s="2262">
        <f t="shared" si="9"/>
        <v>100</v>
      </c>
      <c r="S10" s="2262">
        <f t="shared" si="9"/>
        <v>100</v>
      </c>
      <c r="T10" s="2245"/>
      <c r="U10" s="2253"/>
      <c r="V10" s="2253"/>
      <c r="W10" s="2253"/>
      <c r="X10" s="2253"/>
      <c r="Y10" s="2253"/>
      <c r="Z10" s="2253"/>
      <c r="AA10" s="2253"/>
      <c r="AB10" s="2253"/>
      <c r="AC10" s="2253"/>
      <c r="AD10" s="2253"/>
      <c r="AE10" s="2253"/>
      <c r="AF10" s="2253"/>
      <c r="AG10" s="2253"/>
      <c r="AH10" s="2253"/>
      <c r="AI10" s="2253"/>
      <c r="AJ10" s="2253"/>
      <c r="AK10" s="2253"/>
      <c r="AL10" s="2253"/>
      <c r="AM10" s="2253"/>
      <c r="AN10" s="2253"/>
      <c r="AO10" s="2253"/>
      <c r="AP10" s="2253"/>
      <c r="AQ10" s="2253"/>
      <c r="AR10" s="2253"/>
      <c r="AS10" s="2253"/>
    </row>
    <row r="11" spans="1:45" s="1967" customFormat="1">
      <c r="A11" s="2246"/>
      <c r="B11" s="3106" t="s">
        <v>2935</v>
      </c>
      <c r="C11" s="2247"/>
      <c r="D11" s="2248"/>
      <c r="E11" s="2248"/>
      <c r="F11" s="2248"/>
      <c r="G11" s="2248"/>
      <c r="H11" s="2248"/>
      <c r="I11" s="2248"/>
      <c r="J11" s="2248"/>
      <c r="K11" s="2248"/>
      <c r="L11" s="2248"/>
      <c r="M11" s="2250"/>
      <c r="N11" s="2263"/>
      <c r="O11" s="2264"/>
      <c r="P11" s="2265"/>
      <c r="Q11" s="2266"/>
      <c r="R11" s="2267"/>
      <c r="S11" s="2268"/>
      <c r="T11" s="2252"/>
      <c r="U11" s="2253"/>
      <c r="V11" s="2253"/>
      <c r="W11" s="2253"/>
      <c r="X11" s="2253"/>
      <c r="Y11" s="2253"/>
      <c r="Z11" s="2253"/>
      <c r="AA11" s="2253"/>
      <c r="AB11" s="2253"/>
      <c r="AC11" s="2253"/>
      <c r="AD11" s="2253"/>
      <c r="AE11" s="2253"/>
      <c r="AF11" s="2253"/>
      <c r="AG11" s="2253"/>
      <c r="AH11" s="2253"/>
      <c r="AI11" s="2253"/>
      <c r="AJ11" s="2253"/>
      <c r="AK11" s="2253"/>
      <c r="AL11" s="2253"/>
      <c r="AM11" s="2253"/>
      <c r="AN11" s="2253"/>
      <c r="AO11" s="2253"/>
      <c r="AP11" s="2253"/>
      <c r="AQ11" s="2253"/>
      <c r="AR11" s="2253"/>
      <c r="AS11" s="2253"/>
    </row>
    <row r="12" spans="1:45" s="1967" customFormat="1" ht="13.5" thickBot="1">
      <c r="A12" s="2246"/>
      <c r="B12" s="1959"/>
      <c r="C12" s="1963">
        <v>100</v>
      </c>
      <c r="D12" s="1964">
        <f>C12-$T11</f>
        <v>100</v>
      </c>
      <c r="E12" s="1964">
        <f t="shared" ref="E12:S12" si="10">D12-$T11</f>
        <v>100</v>
      </c>
      <c r="F12" s="1964">
        <f t="shared" si="10"/>
        <v>100</v>
      </c>
      <c r="G12" s="1964">
        <f t="shared" si="10"/>
        <v>100</v>
      </c>
      <c r="H12" s="1964">
        <f t="shared" si="10"/>
        <v>100</v>
      </c>
      <c r="I12" s="1964">
        <f t="shared" si="10"/>
        <v>100</v>
      </c>
      <c r="J12" s="1964">
        <f t="shared" si="10"/>
        <v>100</v>
      </c>
      <c r="K12" s="1964">
        <f t="shared" si="10"/>
        <v>100</v>
      </c>
      <c r="L12" s="1964">
        <f t="shared" si="10"/>
        <v>100</v>
      </c>
      <c r="M12" s="1964">
        <f t="shared" si="10"/>
        <v>100</v>
      </c>
      <c r="N12" s="1964">
        <f t="shared" si="10"/>
        <v>100</v>
      </c>
      <c r="O12" s="1964">
        <f t="shared" si="10"/>
        <v>100</v>
      </c>
      <c r="P12" s="1964">
        <f t="shared" si="10"/>
        <v>100</v>
      </c>
      <c r="Q12" s="1964">
        <f t="shared" si="10"/>
        <v>100</v>
      </c>
      <c r="R12" s="1964">
        <f t="shared" si="10"/>
        <v>100</v>
      </c>
      <c r="S12" s="1964">
        <f t="shared" si="10"/>
        <v>100</v>
      </c>
      <c r="T12" s="1962"/>
      <c r="U12" s="2253"/>
      <c r="V12" s="2253"/>
      <c r="W12" s="2253"/>
      <c r="X12" s="2253"/>
      <c r="Y12" s="2253"/>
      <c r="Z12" s="2253"/>
      <c r="AA12" s="2253"/>
      <c r="AB12" s="2253"/>
      <c r="AC12" s="2253"/>
      <c r="AD12" s="2253"/>
      <c r="AE12" s="2253"/>
      <c r="AF12" s="2253"/>
      <c r="AG12" s="2253"/>
      <c r="AH12" s="2253"/>
      <c r="AI12" s="2253"/>
      <c r="AJ12" s="2253"/>
      <c r="AK12" s="2253"/>
      <c r="AL12" s="2253"/>
      <c r="AM12" s="2253"/>
      <c r="AN12" s="2253"/>
      <c r="AO12" s="2253"/>
      <c r="AP12" s="2253"/>
      <c r="AQ12" s="2253"/>
      <c r="AR12" s="2253"/>
      <c r="AS12" s="2253"/>
    </row>
    <row r="13" spans="1:45" s="1967" customFormat="1">
      <c r="A13" s="2246"/>
      <c r="B13" s="3106" t="s">
        <v>2919</v>
      </c>
      <c r="C13" s="2247"/>
      <c r="D13" s="2248"/>
      <c r="E13" s="2248"/>
      <c r="F13" s="2248"/>
      <c r="G13" s="2248"/>
      <c r="H13" s="2248"/>
      <c r="I13" s="2248"/>
      <c r="J13" s="2248"/>
      <c r="K13" s="2248"/>
      <c r="L13" s="2248"/>
      <c r="M13" s="2250"/>
      <c r="N13" s="2263"/>
      <c r="O13" s="2264"/>
      <c r="P13" s="2265"/>
      <c r="Q13" s="2266"/>
      <c r="R13" s="2267"/>
      <c r="S13" s="2268"/>
      <c r="T13" s="2269"/>
      <c r="U13" s="2253"/>
      <c r="V13" s="2253"/>
      <c r="W13" s="2253"/>
      <c r="X13" s="2253"/>
      <c r="Y13" s="2253"/>
      <c r="Z13" s="2253"/>
      <c r="AA13" s="2253"/>
      <c r="AB13" s="2253"/>
      <c r="AC13" s="2253"/>
      <c r="AD13" s="2253"/>
      <c r="AE13" s="2253"/>
      <c r="AF13" s="2253"/>
      <c r="AG13" s="2253"/>
      <c r="AH13" s="2253"/>
      <c r="AI13" s="2253"/>
      <c r="AJ13" s="2253"/>
      <c r="AK13" s="2253"/>
      <c r="AL13" s="2253"/>
      <c r="AM13" s="2253"/>
      <c r="AN13" s="2253"/>
      <c r="AO13" s="2253"/>
      <c r="AP13" s="2253"/>
      <c r="AQ13" s="2253"/>
      <c r="AR13" s="2253"/>
      <c r="AS13" s="2253"/>
    </row>
    <row r="14" spans="1:45" s="1967" customFormat="1" ht="13.5" thickBot="1">
      <c r="A14" s="2246"/>
      <c r="B14" s="1959"/>
      <c r="C14" s="1960"/>
      <c r="D14" s="1961"/>
      <c r="E14" s="1961"/>
      <c r="F14" s="1961"/>
      <c r="G14" s="1961"/>
      <c r="H14" s="1961"/>
      <c r="I14" s="1961"/>
      <c r="J14" s="1961"/>
      <c r="K14" s="1961"/>
      <c r="L14" s="1961"/>
      <c r="M14" s="2270"/>
      <c r="N14" s="2270"/>
      <c r="O14" s="1961"/>
      <c r="P14" s="1961"/>
      <c r="Q14" s="1961"/>
      <c r="R14" s="1961"/>
      <c r="S14" s="2271"/>
      <c r="T14" s="1962"/>
      <c r="U14" s="2253"/>
      <c r="V14" s="2253"/>
      <c r="W14" s="2253"/>
      <c r="X14" s="2253"/>
      <c r="Y14" s="2253"/>
      <c r="Z14" s="2253"/>
      <c r="AA14" s="2253"/>
      <c r="AB14" s="2253"/>
      <c r="AC14" s="2253"/>
      <c r="AD14" s="2253"/>
      <c r="AE14" s="2253"/>
      <c r="AF14" s="2253"/>
      <c r="AG14" s="2253"/>
      <c r="AH14" s="2253"/>
      <c r="AI14" s="2253"/>
      <c r="AJ14" s="2253"/>
      <c r="AK14" s="2253"/>
      <c r="AL14" s="2253"/>
      <c r="AM14" s="2253"/>
      <c r="AN14" s="2253"/>
      <c r="AO14" s="2253"/>
      <c r="AP14" s="2253"/>
      <c r="AQ14" s="2253"/>
      <c r="AR14" s="2253"/>
      <c r="AS14" s="2253"/>
    </row>
    <row r="15" spans="1:45" s="1967" customFormat="1">
      <c r="A15" s="2246"/>
      <c r="B15" s="3106" t="s">
        <v>2918</v>
      </c>
      <c r="C15" s="2247"/>
      <c r="D15" s="2248"/>
      <c r="E15" s="2248"/>
      <c r="F15" s="2248"/>
      <c r="G15" s="2248"/>
      <c r="H15" s="2248"/>
      <c r="I15" s="2248"/>
      <c r="J15" s="2248"/>
      <c r="K15" s="2248"/>
      <c r="L15" s="2248"/>
      <c r="M15" s="2250"/>
      <c r="N15" s="2263"/>
      <c r="O15" s="2264"/>
      <c r="P15" s="2265"/>
      <c r="Q15" s="2266"/>
      <c r="R15" s="2267"/>
      <c r="S15" s="2268"/>
      <c r="T15" s="2269"/>
      <c r="U15" s="2253"/>
      <c r="V15" s="2253"/>
      <c r="W15" s="2253"/>
      <c r="X15" s="2253"/>
      <c r="Y15" s="2253"/>
      <c r="Z15" s="2253"/>
      <c r="AA15" s="2253"/>
      <c r="AB15" s="2253"/>
      <c r="AC15" s="2253"/>
      <c r="AD15" s="2253"/>
      <c r="AE15" s="2253"/>
      <c r="AF15" s="2253"/>
      <c r="AG15" s="2253"/>
      <c r="AH15" s="2253"/>
      <c r="AI15" s="2253"/>
      <c r="AJ15" s="2253"/>
      <c r="AK15" s="2253"/>
      <c r="AL15" s="2253"/>
      <c r="AM15" s="2253"/>
      <c r="AN15" s="2253"/>
      <c r="AO15" s="2253"/>
      <c r="AP15" s="2253"/>
      <c r="AQ15" s="2253"/>
      <c r="AR15" s="2253"/>
      <c r="AS15" s="2253"/>
    </row>
    <row r="16" spans="1:45" s="1967" customFormat="1" ht="13.5" thickBot="1">
      <c r="A16" s="2246"/>
      <c r="B16" s="2239"/>
      <c r="C16" s="2240"/>
      <c r="D16" s="2241"/>
      <c r="E16" s="2241"/>
      <c r="F16" s="2241"/>
      <c r="G16" s="2241"/>
      <c r="H16" s="2241"/>
      <c r="I16" s="2241"/>
      <c r="J16" s="2241"/>
      <c r="K16" s="2241"/>
      <c r="L16" s="2241"/>
      <c r="M16" s="2242"/>
      <c r="N16" s="2242"/>
      <c r="O16" s="2241"/>
      <c r="P16" s="2241"/>
      <c r="Q16" s="2241"/>
      <c r="R16" s="2241"/>
      <c r="S16" s="2244"/>
      <c r="T16" s="2245"/>
      <c r="U16" s="2253"/>
      <c r="V16" s="2253"/>
      <c r="W16" s="2253"/>
      <c r="X16" s="2253"/>
      <c r="Y16" s="2253"/>
      <c r="Z16" s="2253"/>
      <c r="AA16" s="2253"/>
      <c r="AB16" s="2253"/>
      <c r="AC16" s="2253"/>
      <c r="AD16" s="2253"/>
      <c r="AE16" s="2253"/>
      <c r="AF16" s="2253"/>
      <c r="AG16" s="2253"/>
      <c r="AH16" s="2253"/>
      <c r="AI16" s="2253"/>
      <c r="AJ16" s="2253"/>
      <c r="AK16" s="2253"/>
      <c r="AL16" s="2253"/>
      <c r="AM16" s="2253"/>
      <c r="AN16" s="2253"/>
      <c r="AO16" s="2253"/>
      <c r="AP16" s="2253"/>
      <c r="AQ16" s="2253"/>
      <c r="AR16" s="2253"/>
      <c r="AS16" s="2253"/>
    </row>
    <row r="17" spans="1:45" s="1965" customFormat="1">
      <c r="A17" s="2272" t="s">
        <v>2302</v>
      </c>
      <c r="B17" s="2273" t="s">
        <v>2303</v>
      </c>
      <c r="C17" s="2274"/>
      <c r="D17" s="2275"/>
      <c r="E17" s="2275"/>
      <c r="F17" s="2275"/>
      <c r="G17" s="2275"/>
      <c r="H17" s="2275"/>
      <c r="I17" s="2275"/>
      <c r="J17" s="2275"/>
      <c r="K17" s="2275"/>
      <c r="L17" s="2276"/>
      <c r="M17" s="2277"/>
      <c r="N17" s="2278"/>
      <c r="O17" s="2279"/>
      <c r="P17" s="2280"/>
      <c r="Q17" s="2281"/>
      <c r="R17" s="2282"/>
      <c r="S17" s="2283"/>
      <c r="T17" s="2283"/>
      <c r="U17" s="2283"/>
      <c r="V17" s="2283"/>
      <c r="W17" s="2283"/>
      <c r="X17" s="2283"/>
      <c r="Y17" s="2283"/>
      <c r="Z17" s="2283"/>
      <c r="AA17" s="2283"/>
      <c r="AB17" s="2283"/>
      <c r="AC17" s="2283"/>
      <c r="AD17" s="2283"/>
      <c r="AE17" s="2283"/>
      <c r="AF17" s="2283"/>
      <c r="AG17" s="2283"/>
      <c r="AH17" s="2283"/>
      <c r="AI17" s="2283"/>
      <c r="AJ17" s="2283"/>
      <c r="AK17" s="2283"/>
      <c r="AL17" s="2283"/>
      <c r="AM17" s="2283"/>
      <c r="AN17" s="2283"/>
      <c r="AO17" s="2283"/>
      <c r="AP17" s="2283"/>
      <c r="AQ17" s="2283"/>
      <c r="AR17" s="2232"/>
      <c r="AS17" s="2232"/>
    </row>
    <row r="18" spans="1:45" s="1965" customFormat="1" ht="13.5" thickBot="1">
      <c r="A18" s="2284"/>
      <c r="B18" s="2285"/>
      <c r="C18" s="2286"/>
      <c r="D18" s="2287"/>
      <c r="E18" s="2287"/>
      <c r="F18" s="2287"/>
      <c r="G18" s="2287"/>
      <c r="H18" s="2287"/>
      <c r="I18" s="2287"/>
      <c r="J18" s="2287"/>
      <c r="K18" s="2287"/>
      <c r="L18" s="2287"/>
      <c r="M18" s="2288"/>
      <c r="N18" s="2288"/>
      <c r="O18" s="2287"/>
      <c r="P18" s="2287"/>
      <c r="Q18" s="2287"/>
      <c r="R18" s="2287"/>
      <c r="S18" s="2289"/>
      <c r="T18" s="2289"/>
      <c r="U18" s="2289"/>
      <c r="V18" s="2289"/>
      <c r="W18" s="2289"/>
      <c r="X18" s="2289"/>
      <c r="Y18" s="2289"/>
      <c r="Z18" s="2289"/>
      <c r="AA18" s="2289"/>
      <c r="AB18" s="2289"/>
      <c r="AC18" s="2289"/>
      <c r="AD18" s="2289"/>
      <c r="AE18" s="2289"/>
      <c r="AF18" s="2289"/>
      <c r="AG18" s="2289"/>
      <c r="AH18" s="2289"/>
      <c r="AI18" s="2289"/>
      <c r="AJ18" s="2289"/>
      <c r="AK18" s="2289"/>
      <c r="AL18" s="2289"/>
      <c r="AM18" s="2289"/>
      <c r="AN18" s="2289"/>
      <c r="AO18" s="2289"/>
      <c r="AP18" s="2289"/>
      <c r="AQ18" s="2289"/>
      <c r="AR18" s="2232"/>
      <c r="AS18" s="2232"/>
    </row>
    <row r="19" spans="1:45">
      <c r="A19" s="309"/>
      <c r="B19" s="943"/>
      <c r="C19" s="1985"/>
      <c r="D19" s="1985"/>
      <c r="E19" s="1985"/>
      <c r="F19" s="1985"/>
      <c r="G19" s="1985"/>
      <c r="H19" s="1985"/>
      <c r="I19" s="1985"/>
      <c r="J19" s="1985"/>
      <c r="K19" s="1985"/>
      <c r="L19" s="1985"/>
      <c r="M19" s="1985"/>
      <c r="N19" s="1985"/>
      <c r="O19" s="1985"/>
      <c r="P19" s="1985"/>
      <c r="Q19" s="1985"/>
      <c r="R19" s="2220"/>
      <c r="S19" s="2023"/>
    </row>
    <row r="20" spans="1:45" ht="15.75">
      <c r="A20" s="955" t="s">
        <v>821</v>
      </c>
      <c r="B20" s="771">
        <f>S22</f>
        <v>0</v>
      </c>
      <c r="C20" s="1985"/>
      <c r="D20" s="1985"/>
      <c r="E20" s="1985"/>
      <c r="F20" s="1985"/>
      <c r="G20" s="1985"/>
      <c r="H20" s="1985"/>
      <c r="I20" s="1985"/>
      <c r="J20" s="1985"/>
      <c r="K20" s="1985"/>
      <c r="L20" s="1985"/>
      <c r="M20" s="1985"/>
      <c r="N20" s="1985"/>
      <c r="O20" s="1985"/>
      <c r="P20" s="1985"/>
      <c r="Q20" s="1985"/>
      <c r="R20" s="2220"/>
      <c r="S20" s="2023"/>
    </row>
    <row r="21" spans="1:45" ht="15.75">
      <c r="A21" s="955" t="s">
        <v>822</v>
      </c>
      <c r="B21" s="771" t="e">
        <f>R22</f>
        <v>#DIV/0!</v>
      </c>
      <c r="C21" s="1985"/>
      <c r="D21" s="1985"/>
      <c r="E21" s="1985"/>
      <c r="F21" s="1985"/>
      <c r="G21" s="1985"/>
      <c r="H21" s="1985"/>
      <c r="I21" s="1985"/>
      <c r="J21" s="1985"/>
      <c r="K21" s="1985"/>
      <c r="L21" s="1985"/>
      <c r="M21" s="1985"/>
      <c r="N21" s="1985"/>
      <c r="O21" s="1985"/>
      <c r="P21" s="1985"/>
      <c r="Q21" s="1985"/>
      <c r="R21" s="2220"/>
      <c r="S21" s="2023"/>
    </row>
    <row r="22" spans="1:45">
      <c r="A22" s="795" t="s">
        <v>823</v>
      </c>
      <c r="B22" s="53">
        <f>SUM(B24:B10000)</f>
        <v>0</v>
      </c>
      <c r="C22" s="3571" t="s">
        <v>20</v>
      </c>
      <c r="D22" s="3572"/>
      <c r="E22" s="3572"/>
      <c r="F22" s="3572"/>
      <c r="G22" s="3572"/>
      <c r="H22" s="3572"/>
      <c r="I22" s="3572"/>
      <c r="J22" s="3572"/>
      <c r="K22" s="3572"/>
      <c r="L22" s="3572"/>
      <c r="M22" s="3572"/>
      <c r="N22" s="3572"/>
      <c r="O22" s="3572"/>
      <c r="P22" s="3572"/>
      <c r="Q22" s="3573"/>
      <c r="R22" s="488" t="e">
        <f>ROUND(S22*10000/B22,0)</f>
        <v>#DIV/0!</v>
      </c>
      <c r="S22" s="53">
        <f>SUM(S24:S10000)</f>
        <v>0</v>
      </c>
    </row>
    <row r="23" spans="1:45" s="1609" customFormat="1" ht="24">
      <c r="A23" s="17" t="s">
        <v>824</v>
      </c>
      <c r="B23" s="17" t="s">
        <v>825</v>
      </c>
      <c r="C23" s="17" t="s">
        <v>826</v>
      </c>
      <c r="D23" s="17" t="str">
        <f>B5</f>
        <v>修正项2</v>
      </c>
      <c r="E23" s="17" t="s">
        <v>826</v>
      </c>
      <c r="F23" s="17" t="str">
        <f>B7</f>
        <v>修正项3</v>
      </c>
      <c r="G23" s="17" t="s">
        <v>826</v>
      </c>
      <c r="H23" s="17" t="str">
        <f>B9</f>
        <v>修正项4</v>
      </c>
      <c r="I23" s="17" t="s">
        <v>826</v>
      </c>
      <c r="J23" s="17" t="str">
        <f>B11</f>
        <v>修正项5</v>
      </c>
      <c r="K23" s="17" t="s">
        <v>826</v>
      </c>
      <c r="L23" s="17" t="str">
        <f>B13</f>
        <v>修正项6</v>
      </c>
      <c r="M23" s="17" t="s">
        <v>826</v>
      </c>
      <c r="N23" s="17" t="str">
        <f>B15</f>
        <v>修正项7</v>
      </c>
      <c r="O23" s="17" t="s">
        <v>826</v>
      </c>
      <c r="P23" s="17" t="str">
        <f>B17</f>
        <v>楼层</v>
      </c>
      <c r="Q23" s="17" t="s">
        <v>826</v>
      </c>
      <c r="R23" s="489" t="s">
        <v>827</v>
      </c>
      <c r="S23" s="17" t="s">
        <v>828</v>
      </c>
      <c r="T23" s="18"/>
      <c r="U23" s="18"/>
      <c r="V23" s="18"/>
      <c r="W23" s="18"/>
      <c r="X23" s="18"/>
      <c r="Y23" s="18"/>
      <c r="Z23" s="18"/>
      <c r="AA23" s="18"/>
      <c r="AB23" s="18"/>
      <c r="AC23" s="18"/>
      <c r="AD23" s="18"/>
      <c r="AE23" s="18"/>
      <c r="AF23" s="18"/>
      <c r="AG23" s="18"/>
      <c r="AH23" s="18"/>
      <c r="AI23" s="18"/>
    </row>
    <row r="24" spans="1:45" s="1610" customFormat="1">
      <c r="A24" s="956" t="s">
        <v>829</v>
      </c>
      <c r="B24" s="956"/>
      <c r="C24" s="957">
        <v>1</v>
      </c>
      <c r="D24" s="958"/>
      <c r="E24" s="957">
        <v>1</v>
      </c>
      <c r="F24" s="958"/>
      <c r="G24" s="957">
        <v>1</v>
      </c>
      <c r="H24" s="958"/>
      <c r="I24" s="957">
        <v>1</v>
      </c>
      <c r="J24" s="958"/>
      <c r="K24" s="957">
        <v>1</v>
      </c>
      <c r="L24" s="958"/>
      <c r="M24" s="957">
        <v>1</v>
      </c>
      <c r="N24" s="958"/>
      <c r="O24" s="957">
        <v>1</v>
      </c>
      <c r="P24" s="958"/>
      <c r="Q24" s="957">
        <v>1</v>
      </c>
      <c r="R24" s="959"/>
      <c r="S24" s="957">
        <f t="shared" ref="S24:S54" si="11">ROUND(R24*B24/10000,0)</f>
        <v>0</v>
      </c>
      <c r="T24" s="1968"/>
      <c r="U24" s="1968"/>
      <c r="V24" s="1968"/>
      <c r="W24" s="1968"/>
      <c r="X24" s="1968"/>
      <c r="Y24" s="1968"/>
      <c r="Z24" s="1968"/>
      <c r="AA24" s="1968"/>
      <c r="AB24" s="1968"/>
      <c r="AC24" s="1968"/>
      <c r="AD24" s="1968"/>
      <c r="AE24" s="1968"/>
      <c r="AF24" s="1968"/>
      <c r="AG24" s="1968"/>
      <c r="AH24" s="1968"/>
      <c r="AI24" s="1968"/>
    </row>
    <row r="25" spans="1:45">
      <c r="A25" s="960"/>
      <c r="B25" s="137"/>
      <c r="C25" s="53">
        <f>IF(B25="",1,(LOOKUP(B25,$3:$3,$4:$4)-LOOKUP($B$24,$3:$3,$4:$4)+100)/100)</f>
        <v>1</v>
      </c>
      <c r="D25" s="958"/>
      <c r="E25" s="53">
        <f>(SUMIF($5:$5,D25,$6:$6)-SUMIF($5:$5,$D$24,$6:$6)+100)/100</f>
        <v>1</v>
      </c>
      <c r="F25" s="958"/>
      <c r="G25" s="53">
        <f>(SUMIF($7:$7,F25,$8:$8)-SUMIF($7:$7,$F$24,$8:$8)+100)/100</f>
        <v>1</v>
      </c>
      <c r="H25" s="958"/>
      <c r="I25" s="53">
        <f>(SUMIF($9:$9,H25,$10:$10)-SUMIF($9:$9,$H$24,$10:$10)+100)/100</f>
        <v>1</v>
      </c>
      <c r="J25" s="958"/>
      <c r="K25" s="53">
        <f>(SUMIF($11:$11,J25,$12:$12)-SUMIF($11:$11,$J$24,$12:$12)+100)/100</f>
        <v>1</v>
      </c>
      <c r="L25" s="958"/>
      <c r="M25" s="53">
        <f>(SUMIF($13:$13,L25,$14:$14)-SUMIF($13:$13,$L$24,$14:$14)+100)/100</f>
        <v>1</v>
      </c>
      <c r="N25" s="958"/>
      <c r="O25" s="53">
        <f>(SUMIF($15:$15,N25,$16:$16)-SUMIF($15:$15,$N$24,$16:$16)+100)/100</f>
        <v>1</v>
      </c>
      <c r="P25" s="958"/>
      <c r="Q25" s="53">
        <f>(SUMIF($17:$17,P25,$18:$18)-SUMIF($17:$17,$P$24,$18:$18)+100)/100</f>
        <v>1</v>
      </c>
      <c r="R25" s="488">
        <f>IF(B25="",0,ROUND($R$24*C25*E25*G25*I25*K25*M25*O25*Q25,0))</f>
        <v>0</v>
      </c>
      <c r="S25" s="795">
        <f t="shared" si="11"/>
        <v>0</v>
      </c>
    </row>
    <row r="26" spans="1:45">
      <c r="A26" s="960"/>
      <c r="B26" s="137"/>
      <c r="C26" s="53">
        <f t="shared" ref="C26:C89" si="12">IF(B26="",1,(LOOKUP(B26,$3:$3,$4:$4)-LOOKUP($B$24,$3:$3,$4:$4)+100)/100)</f>
        <v>1</v>
      </c>
      <c r="D26" s="958"/>
      <c r="E26" s="53">
        <f t="shared" ref="E26:E89" si="13">(SUMIF($5:$5,D26,$6:$6)-SUMIF($5:$5,$D$24,$6:$6)+100)/100</f>
        <v>1</v>
      </c>
      <c r="F26" s="958"/>
      <c r="G26" s="53">
        <f t="shared" ref="G26:G89" si="14">(SUMIF($7:$7,F26,$8:$8)-SUMIF($7:$7,$F$24,$8:$8)+100)/100</f>
        <v>1</v>
      </c>
      <c r="H26" s="958"/>
      <c r="I26" s="53">
        <f t="shared" ref="I26:I89" si="15">(SUMIF($9:$9,H26,$10:$10)-SUMIF($9:$9,$H$24,$10:$10)+100)/100</f>
        <v>1</v>
      </c>
      <c r="J26" s="958"/>
      <c r="K26" s="53">
        <f t="shared" ref="K26:K89" si="16">(SUMIF($11:$11,J26,$12:$12)-SUMIF($11:$11,$J$24,$12:$12)+100)/100</f>
        <v>1</v>
      </c>
      <c r="L26" s="958"/>
      <c r="M26" s="53">
        <f t="shared" ref="M26:M89" si="17">(SUMIF($13:$13,L26,$14:$14)-SUMIF($13:$13,$L$24,$14:$14)+100)/100</f>
        <v>1</v>
      </c>
      <c r="N26" s="958"/>
      <c r="O26" s="53">
        <f t="shared" ref="O26:O89" si="18">(SUMIF($15:$15,N26,$16:$16)-SUMIF($15:$15,$N$24,$16:$16)+100)/100</f>
        <v>1</v>
      </c>
      <c r="P26" s="958"/>
      <c r="Q26" s="53">
        <f t="shared" ref="Q26:Q89" si="19">(SUMIF($17:$17,P26,$18:$18)-SUMIF($17:$17,$P$24,$18:$18)+100)/100</f>
        <v>1</v>
      </c>
      <c r="R26" s="488">
        <f t="shared" ref="R26:R89" si="20">IF(B26="",0,ROUND($R$24*C26*E26*G26*I26*K26*M26*O26*Q26,0))</f>
        <v>0</v>
      </c>
      <c r="S26" s="795">
        <f t="shared" si="11"/>
        <v>0</v>
      </c>
    </row>
    <row r="27" spans="1:45">
      <c r="A27" s="960"/>
      <c r="B27" s="137"/>
      <c r="C27" s="53">
        <f t="shared" si="12"/>
        <v>1</v>
      </c>
      <c r="D27" s="958"/>
      <c r="E27" s="53">
        <f t="shared" si="13"/>
        <v>1</v>
      </c>
      <c r="F27" s="958"/>
      <c r="G27" s="53">
        <f t="shared" si="14"/>
        <v>1</v>
      </c>
      <c r="H27" s="958"/>
      <c r="I27" s="53">
        <f t="shared" si="15"/>
        <v>1</v>
      </c>
      <c r="J27" s="958"/>
      <c r="K27" s="53">
        <f t="shared" si="16"/>
        <v>1</v>
      </c>
      <c r="L27" s="958"/>
      <c r="M27" s="53">
        <f t="shared" si="17"/>
        <v>1</v>
      </c>
      <c r="N27" s="958"/>
      <c r="O27" s="53">
        <f t="shared" si="18"/>
        <v>1</v>
      </c>
      <c r="P27" s="958"/>
      <c r="Q27" s="53">
        <f t="shared" si="19"/>
        <v>1</v>
      </c>
      <c r="R27" s="488">
        <f t="shared" si="20"/>
        <v>0</v>
      </c>
      <c r="S27" s="795">
        <f t="shared" si="11"/>
        <v>0</v>
      </c>
    </row>
    <row r="28" spans="1:45">
      <c r="A28" s="960"/>
      <c r="B28" s="137"/>
      <c r="C28" s="53">
        <f t="shared" si="12"/>
        <v>1</v>
      </c>
      <c r="D28" s="958"/>
      <c r="E28" s="53">
        <f t="shared" si="13"/>
        <v>1</v>
      </c>
      <c r="F28" s="958"/>
      <c r="G28" s="53">
        <f t="shared" si="14"/>
        <v>1</v>
      </c>
      <c r="H28" s="958"/>
      <c r="I28" s="53">
        <f t="shared" si="15"/>
        <v>1</v>
      </c>
      <c r="J28" s="958"/>
      <c r="K28" s="53">
        <f t="shared" si="16"/>
        <v>1</v>
      </c>
      <c r="L28" s="958"/>
      <c r="M28" s="53">
        <f t="shared" si="17"/>
        <v>1</v>
      </c>
      <c r="N28" s="958"/>
      <c r="O28" s="53">
        <f t="shared" si="18"/>
        <v>1</v>
      </c>
      <c r="P28" s="958"/>
      <c r="Q28" s="53">
        <f t="shared" si="19"/>
        <v>1</v>
      </c>
      <c r="R28" s="488">
        <f t="shared" si="20"/>
        <v>0</v>
      </c>
      <c r="S28" s="795">
        <f t="shared" si="11"/>
        <v>0</v>
      </c>
    </row>
    <row r="29" spans="1:45">
      <c r="A29" s="960"/>
      <c r="B29" s="137"/>
      <c r="C29" s="53">
        <f t="shared" si="12"/>
        <v>1</v>
      </c>
      <c r="D29" s="958"/>
      <c r="E29" s="53">
        <f t="shared" si="13"/>
        <v>1</v>
      </c>
      <c r="F29" s="958"/>
      <c r="G29" s="53">
        <f t="shared" si="14"/>
        <v>1</v>
      </c>
      <c r="H29" s="958"/>
      <c r="I29" s="53">
        <f t="shared" si="15"/>
        <v>1</v>
      </c>
      <c r="J29" s="958"/>
      <c r="K29" s="53">
        <f t="shared" si="16"/>
        <v>1</v>
      </c>
      <c r="L29" s="958"/>
      <c r="M29" s="53">
        <f t="shared" si="17"/>
        <v>1</v>
      </c>
      <c r="N29" s="958"/>
      <c r="O29" s="53">
        <f t="shared" si="18"/>
        <v>1</v>
      </c>
      <c r="P29" s="958"/>
      <c r="Q29" s="53">
        <f t="shared" si="19"/>
        <v>1</v>
      </c>
      <c r="R29" s="488">
        <f t="shared" si="20"/>
        <v>0</v>
      </c>
      <c r="S29" s="795">
        <f t="shared" si="11"/>
        <v>0</v>
      </c>
    </row>
    <row r="30" spans="1:45">
      <c r="A30" s="960"/>
      <c r="B30" s="137"/>
      <c r="C30" s="53">
        <f t="shared" si="12"/>
        <v>1</v>
      </c>
      <c r="D30" s="958"/>
      <c r="E30" s="53">
        <f t="shared" si="13"/>
        <v>1</v>
      </c>
      <c r="F30" s="958"/>
      <c r="G30" s="53">
        <f t="shared" si="14"/>
        <v>1</v>
      </c>
      <c r="H30" s="958"/>
      <c r="I30" s="53">
        <f t="shared" si="15"/>
        <v>1</v>
      </c>
      <c r="J30" s="958"/>
      <c r="K30" s="53">
        <f t="shared" si="16"/>
        <v>1</v>
      </c>
      <c r="L30" s="958"/>
      <c r="M30" s="53">
        <f t="shared" si="17"/>
        <v>1</v>
      </c>
      <c r="N30" s="958"/>
      <c r="O30" s="53">
        <f t="shared" si="18"/>
        <v>1</v>
      </c>
      <c r="P30" s="958"/>
      <c r="Q30" s="53">
        <f t="shared" si="19"/>
        <v>1</v>
      </c>
      <c r="R30" s="488">
        <f t="shared" si="20"/>
        <v>0</v>
      </c>
      <c r="S30" s="795">
        <f t="shared" si="11"/>
        <v>0</v>
      </c>
    </row>
    <row r="31" spans="1:45">
      <c r="A31" s="960"/>
      <c r="B31" s="137"/>
      <c r="C31" s="53">
        <f t="shared" si="12"/>
        <v>1</v>
      </c>
      <c r="D31" s="958"/>
      <c r="E31" s="53">
        <f t="shared" si="13"/>
        <v>1</v>
      </c>
      <c r="F31" s="958"/>
      <c r="G31" s="53">
        <f t="shared" si="14"/>
        <v>1</v>
      </c>
      <c r="H31" s="958"/>
      <c r="I31" s="53">
        <f t="shared" si="15"/>
        <v>1</v>
      </c>
      <c r="J31" s="958"/>
      <c r="K31" s="53">
        <f t="shared" si="16"/>
        <v>1</v>
      </c>
      <c r="L31" s="958"/>
      <c r="M31" s="53">
        <f t="shared" si="17"/>
        <v>1</v>
      </c>
      <c r="N31" s="958"/>
      <c r="O31" s="53">
        <f t="shared" si="18"/>
        <v>1</v>
      </c>
      <c r="P31" s="958"/>
      <c r="Q31" s="53">
        <f t="shared" si="19"/>
        <v>1</v>
      </c>
      <c r="R31" s="488">
        <f t="shared" si="20"/>
        <v>0</v>
      </c>
      <c r="S31" s="795">
        <f t="shared" si="11"/>
        <v>0</v>
      </c>
    </row>
    <row r="32" spans="1:45">
      <c r="A32" s="960"/>
      <c r="B32" s="137"/>
      <c r="C32" s="53">
        <f t="shared" si="12"/>
        <v>1</v>
      </c>
      <c r="D32" s="958"/>
      <c r="E32" s="53">
        <f t="shared" si="13"/>
        <v>1</v>
      </c>
      <c r="F32" s="958"/>
      <c r="G32" s="53">
        <f t="shared" si="14"/>
        <v>1</v>
      </c>
      <c r="H32" s="958"/>
      <c r="I32" s="53">
        <f t="shared" si="15"/>
        <v>1</v>
      </c>
      <c r="J32" s="958"/>
      <c r="K32" s="53">
        <f t="shared" si="16"/>
        <v>1</v>
      </c>
      <c r="L32" s="958"/>
      <c r="M32" s="53">
        <f t="shared" si="17"/>
        <v>1</v>
      </c>
      <c r="N32" s="958"/>
      <c r="O32" s="53">
        <f t="shared" si="18"/>
        <v>1</v>
      </c>
      <c r="P32" s="958"/>
      <c r="Q32" s="53">
        <f t="shared" si="19"/>
        <v>1</v>
      </c>
      <c r="R32" s="488">
        <f t="shared" si="20"/>
        <v>0</v>
      </c>
      <c r="S32" s="795">
        <f t="shared" si="11"/>
        <v>0</v>
      </c>
    </row>
    <row r="33" spans="1:19">
      <c r="A33" s="960"/>
      <c r="B33" s="137"/>
      <c r="C33" s="53">
        <f t="shared" si="12"/>
        <v>1</v>
      </c>
      <c r="D33" s="958"/>
      <c r="E33" s="53">
        <f t="shared" si="13"/>
        <v>1</v>
      </c>
      <c r="F33" s="958"/>
      <c r="G33" s="53">
        <f t="shared" si="14"/>
        <v>1</v>
      </c>
      <c r="H33" s="958"/>
      <c r="I33" s="53">
        <f t="shared" si="15"/>
        <v>1</v>
      </c>
      <c r="J33" s="958"/>
      <c r="K33" s="53">
        <f t="shared" si="16"/>
        <v>1</v>
      </c>
      <c r="L33" s="958"/>
      <c r="M33" s="53">
        <f t="shared" si="17"/>
        <v>1</v>
      </c>
      <c r="N33" s="958"/>
      <c r="O33" s="53">
        <f t="shared" si="18"/>
        <v>1</v>
      </c>
      <c r="P33" s="958"/>
      <c r="Q33" s="53">
        <f t="shared" si="19"/>
        <v>1</v>
      </c>
      <c r="R33" s="488">
        <f t="shared" si="20"/>
        <v>0</v>
      </c>
      <c r="S33" s="795">
        <f t="shared" si="11"/>
        <v>0</v>
      </c>
    </row>
    <row r="34" spans="1:19">
      <c r="A34" s="960"/>
      <c r="B34" s="137"/>
      <c r="C34" s="53">
        <f t="shared" si="12"/>
        <v>1</v>
      </c>
      <c r="D34" s="958"/>
      <c r="E34" s="53">
        <f t="shared" si="13"/>
        <v>1</v>
      </c>
      <c r="F34" s="958"/>
      <c r="G34" s="53">
        <f t="shared" si="14"/>
        <v>1</v>
      </c>
      <c r="H34" s="958"/>
      <c r="I34" s="53">
        <f t="shared" si="15"/>
        <v>1</v>
      </c>
      <c r="J34" s="958"/>
      <c r="K34" s="53">
        <f t="shared" si="16"/>
        <v>1</v>
      </c>
      <c r="L34" s="958"/>
      <c r="M34" s="53">
        <f t="shared" si="17"/>
        <v>1</v>
      </c>
      <c r="N34" s="958"/>
      <c r="O34" s="53">
        <f t="shared" si="18"/>
        <v>1</v>
      </c>
      <c r="P34" s="958"/>
      <c r="Q34" s="53">
        <f t="shared" si="19"/>
        <v>1</v>
      </c>
      <c r="R34" s="488">
        <f t="shared" si="20"/>
        <v>0</v>
      </c>
      <c r="S34" s="795">
        <f t="shared" si="11"/>
        <v>0</v>
      </c>
    </row>
    <row r="35" spans="1:19">
      <c r="A35" s="960"/>
      <c r="B35" s="137"/>
      <c r="C35" s="53">
        <f t="shared" si="12"/>
        <v>1</v>
      </c>
      <c r="D35" s="958"/>
      <c r="E35" s="53">
        <f t="shared" si="13"/>
        <v>1</v>
      </c>
      <c r="F35" s="958"/>
      <c r="G35" s="53">
        <f t="shared" si="14"/>
        <v>1</v>
      </c>
      <c r="H35" s="958"/>
      <c r="I35" s="53">
        <f t="shared" si="15"/>
        <v>1</v>
      </c>
      <c r="J35" s="958"/>
      <c r="K35" s="53">
        <f t="shared" si="16"/>
        <v>1</v>
      </c>
      <c r="L35" s="958"/>
      <c r="M35" s="53">
        <f t="shared" si="17"/>
        <v>1</v>
      </c>
      <c r="N35" s="958"/>
      <c r="O35" s="53">
        <f t="shared" si="18"/>
        <v>1</v>
      </c>
      <c r="P35" s="958"/>
      <c r="Q35" s="53">
        <f t="shared" si="19"/>
        <v>1</v>
      </c>
      <c r="R35" s="488">
        <f t="shared" si="20"/>
        <v>0</v>
      </c>
      <c r="S35" s="795">
        <f t="shared" si="11"/>
        <v>0</v>
      </c>
    </row>
    <row r="36" spans="1:19">
      <c r="A36" s="960"/>
      <c r="B36" s="137"/>
      <c r="C36" s="53">
        <f t="shared" si="12"/>
        <v>1</v>
      </c>
      <c r="D36" s="958"/>
      <c r="E36" s="53">
        <f t="shared" si="13"/>
        <v>1</v>
      </c>
      <c r="F36" s="958"/>
      <c r="G36" s="53">
        <f t="shared" si="14"/>
        <v>1</v>
      </c>
      <c r="H36" s="958"/>
      <c r="I36" s="53">
        <f t="shared" si="15"/>
        <v>1</v>
      </c>
      <c r="J36" s="958"/>
      <c r="K36" s="53">
        <f t="shared" si="16"/>
        <v>1</v>
      </c>
      <c r="L36" s="958"/>
      <c r="M36" s="53">
        <f t="shared" si="17"/>
        <v>1</v>
      </c>
      <c r="N36" s="958"/>
      <c r="O36" s="53">
        <f t="shared" si="18"/>
        <v>1</v>
      </c>
      <c r="P36" s="958"/>
      <c r="Q36" s="53">
        <f t="shared" si="19"/>
        <v>1</v>
      </c>
      <c r="R36" s="488">
        <f t="shared" si="20"/>
        <v>0</v>
      </c>
      <c r="S36" s="795">
        <f t="shared" si="11"/>
        <v>0</v>
      </c>
    </row>
    <row r="37" spans="1:19">
      <c r="A37" s="960"/>
      <c r="B37" s="137"/>
      <c r="C37" s="53">
        <f t="shared" si="12"/>
        <v>1</v>
      </c>
      <c r="D37" s="958"/>
      <c r="E37" s="53">
        <f t="shared" si="13"/>
        <v>1</v>
      </c>
      <c r="F37" s="958"/>
      <c r="G37" s="53">
        <f t="shared" si="14"/>
        <v>1</v>
      </c>
      <c r="H37" s="958"/>
      <c r="I37" s="53">
        <f t="shared" si="15"/>
        <v>1</v>
      </c>
      <c r="J37" s="958"/>
      <c r="K37" s="53">
        <f t="shared" si="16"/>
        <v>1</v>
      </c>
      <c r="L37" s="958"/>
      <c r="M37" s="53">
        <f t="shared" si="17"/>
        <v>1</v>
      </c>
      <c r="N37" s="958"/>
      <c r="O37" s="53">
        <f t="shared" si="18"/>
        <v>1</v>
      </c>
      <c r="P37" s="958"/>
      <c r="Q37" s="53">
        <f t="shared" si="19"/>
        <v>1</v>
      </c>
      <c r="R37" s="488">
        <f t="shared" si="20"/>
        <v>0</v>
      </c>
      <c r="S37" s="795">
        <f t="shared" si="11"/>
        <v>0</v>
      </c>
    </row>
    <row r="38" spans="1:19">
      <c r="A38" s="960"/>
      <c r="B38" s="137"/>
      <c r="C38" s="53">
        <f t="shared" si="12"/>
        <v>1</v>
      </c>
      <c r="D38" s="958"/>
      <c r="E38" s="53">
        <f t="shared" si="13"/>
        <v>1</v>
      </c>
      <c r="F38" s="958"/>
      <c r="G38" s="53">
        <f t="shared" si="14"/>
        <v>1</v>
      </c>
      <c r="H38" s="958"/>
      <c r="I38" s="53">
        <f t="shared" si="15"/>
        <v>1</v>
      </c>
      <c r="J38" s="958"/>
      <c r="K38" s="53">
        <f t="shared" si="16"/>
        <v>1</v>
      </c>
      <c r="L38" s="958"/>
      <c r="M38" s="53">
        <f t="shared" si="17"/>
        <v>1</v>
      </c>
      <c r="N38" s="958"/>
      <c r="O38" s="53">
        <f t="shared" si="18"/>
        <v>1</v>
      </c>
      <c r="P38" s="958"/>
      <c r="Q38" s="53">
        <f t="shared" si="19"/>
        <v>1</v>
      </c>
      <c r="R38" s="488">
        <f t="shared" si="20"/>
        <v>0</v>
      </c>
      <c r="S38" s="795">
        <f t="shared" si="11"/>
        <v>0</v>
      </c>
    </row>
    <row r="39" spans="1:19">
      <c r="A39" s="960"/>
      <c r="B39" s="137"/>
      <c r="C39" s="53">
        <f t="shared" si="12"/>
        <v>1</v>
      </c>
      <c r="D39" s="958"/>
      <c r="E39" s="53">
        <f t="shared" si="13"/>
        <v>1</v>
      </c>
      <c r="F39" s="958"/>
      <c r="G39" s="53">
        <f t="shared" si="14"/>
        <v>1</v>
      </c>
      <c r="H39" s="958"/>
      <c r="I39" s="53">
        <f t="shared" si="15"/>
        <v>1</v>
      </c>
      <c r="J39" s="958"/>
      <c r="K39" s="53">
        <f t="shared" si="16"/>
        <v>1</v>
      </c>
      <c r="L39" s="958"/>
      <c r="M39" s="53">
        <f t="shared" si="17"/>
        <v>1</v>
      </c>
      <c r="N39" s="958"/>
      <c r="O39" s="53">
        <f t="shared" si="18"/>
        <v>1</v>
      </c>
      <c r="P39" s="958"/>
      <c r="Q39" s="53">
        <f t="shared" si="19"/>
        <v>1</v>
      </c>
      <c r="R39" s="488">
        <f t="shared" si="20"/>
        <v>0</v>
      </c>
      <c r="S39" s="795">
        <f t="shared" si="11"/>
        <v>0</v>
      </c>
    </row>
    <row r="40" spans="1:19">
      <c r="A40" s="960"/>
      <c r="B40" s="137"/>
      <c r="C40" s="53">
        <f t="shared" si="12"/>
        <v>1</v>
      </c>
      <c r="D40" s="958"/>
      <c r="E40" s="53">
        <f t="shared" si="13"/>
        <v>1</v>
      </c>
      <c r="F40" s="958"/>
      <c r="G40" s="53">
        <f t="shared" si="14"/>
        <v>1</v>
      </c>
      <c r="H40" s="958"/>
      <c r="I40" s="53">
        <f t="shared" si="15"/>
        <v>1</v>
      </c>
      <c r="J40" s="958"/>
      <c r="K40" s="53">
        <f t="shared" si="16"/>
        <v>1</v>
      </c>
      <c r="L40" s="958"/>
      <c r="M40" s="53">
        <f t="shared" si="17"/>
        <v>1</v>
      </c>
      <c r="N40" s="958"/>
      <c r="O40" s="53">
        <f t="shared" si="18"/>
        <v>1</v>
      </c>
      <c r="P40" s="958"/>
      <c r="Q40" s="53">
        <f t="shared" si="19"/>
        <v>1</v>
      </c>
      <c r="R40" s="488">
        <f t="shared" si="20"/>
        <v>0</v>
      </c>
      <c r="S40" s="795">
        <f t="shared" si="11"/>
        <v>0</v>
      </c>
    </row>
    <row r="41" spans="1:19">
      <c r="A41" s="960"/>
      <c r="B41" s="137"/>
      <c r="C41" s="53">
        <f t="shared" si="12"/>
        <v>1</v>
      </c>
      <c r="D41" s="958"/>
      <c r="E41" s="53">
        <f t="shared" si="13"/>
        <v>1</v>
      </c>
      <c r="F41" s="958"/>
      <c r="G41" s="53">
        <f t="shared" si="14"/>
        <v>1</v>
      </c>
      <c r="H41" s="958"/>
      <c r="I41" s="53">
        <f t="shared" si="15"/>
        <v>1</v>
      </c>
      <c r="J41" s="958"/>
      <c r="K41" s="53">
        <f t="shared" si="16"/>
        <v>1</v>
      </c>
      <c r="L41" s="958"/>
      <c r="M41" s="53">
        <f t="shared" si="17"/>
        <v>1</v>
      </c>
      <c r="N41" s="958"/>
      <c r="O41" s="53">
        <f t="shared" si="18"/>
        <v>1</v>
      </c>
      <c r="P41" s="958"/>
      <c r="Q41" s="53">
        <f t="shared" si="19"/>
        <v>1</v>
      </c>
      <c r="R41" s="488">
        <f t="shared" si="20"/>
        <v>0</v>
      </c>
      <c r="S41" s="795">
        <f t="shared" si="11"/>
        <v>0</v>
      </c>
    </row>
    <row r="42" spans="1:19">
      <c r="A42" s="960"/>
      <c r="B42" s="137"/>
      <c r="C42" s="53">
        <f t="shared" si="12"/>
        <v>1</v>
      </c>
      <c r="D42" s="958"/>
      <c r="E42" s="53">
        <f t="shared" si="13"/>
        <v>1</v>
      </c>
      <c r="F42" s="958"/>
      <c r="G42" s="53">
        <f t="shared" si="14"/>
        <v>1</v>
      </c>
      <c r="H42" s="958"/>
      <c r="I42" s="53">
        <f t="shared" si="15"/>
        <v>1</v>
      </c>
      <c r="J42" s="958"/>
      <c r="K42" s="53">
        <f t="shared" si="16"/>
        <v>1</v>
      </c>
      <c r="L42" s="958"/>
      <c r="M42" s="53">
        <f t="shared" si="17"/>
        <v>1</v>
      </c>
      <c r="N42" s="958"/>
      <c r="O42" s="53">
        <f t="shared" si="18"/>
        <v>1</v>
      </c>
      <c r="P42" s="958"/>
      <c r="Q42" s="53">
        <f t="shared" si="19"/>
        <v>1</v>
      </c>
      <c r="R42" s="488">
        <f t="shared" si="20"/>
        <v>0</v>
      </c>
      <c r="S42" s="795">
        <f t="shared" si="11"/>
        <v>0</v>
      </c>
    </row>
    <row r="43" spans="1:19">
      <c r="A43" s="960"/>
      <c r="B43" s="137"/>
      <c r="C43" s="53">
        <f t="shared" si="12"/>
        <v>1</v>
      </c>
      <c r="D43" s="958"/>
      <c r="E43" s="53">
        <f t="shared" si="13"/>
        <v>1</v>
      </c>
      <c r="F43" s="958"/>
      <c r="G43" s="53">
        <f t="shared" si="14"/>
        <v>1</v>
      </c>
      <c r="H43" s="958"/>
      <c r="I43" s="53">
        <f t="shared" si="15"/>
        <v>1</v>
      </c>
      <c r="J43" s="958"/>
      <c r="K43" s="53">
        <f t="shared" si="16"/>
        <v>1</v>
      </c>
      <c r="L43" s="958"/>
      <c r="M43" s="53">
        <f t="shared" si="17"/>
        <v>1</v>
      </c>
      <c r="N43" s="958"/>
      <c r="O43" s="53">
        <f t="shared" si="18"/>
        <v>1</v>
      </c>
      <c r="P43" s="958"/>
      <c r="Q43" s="53">
        <f t="shared" si="19"/>
        <v>1</v>
      </c>
      <c r="R43" s="488">
        <f t="shared" si="20"/>
        <v>0</v>
      </c>
      <c r="S43" s="795">
        <f t="shared" si="11"/>
        <v>0</v>
      </c>
    </row>
    <row r="44" spans="1:19">
      <c r="A44" s="960"/>
      <c r="B44" s="137"/>
      <c r="C44" s="53">
        <f t="shared" si="12"/>
        <v>1</v>
      </c>
      <c r="D44" s="958"/>
      <c r="E44" s="53">
        <f t="shared" si="13"/>
        <v>1</v>
      </c>
      <c r="F44" s="958"/>
      <c r="G44" s="53">
        <f t="shared" si="14"/>
        <v>1</v>
      </c>
      <c r="H44" s="958"/>
      <c r="I44" s="53">
        <f t="shared" si="15"/>
        <v>1</v>
      </c>
      <c r="J44" s="958"/>
      <c r="K44" s="53">
        <f t="shared" si="16"/>
        <v>1</v>
      </c>
      <c r="L44" s="958"/>
      <c r="M44" s="53">
        <f t="shared" si="17"/>
        <v>1</v>
      </c>
      <c r="N44" s="958"/>
      <c r="O44" s="53">
        <f t="shared" si="18"/>
        <v>1</v>
      </c>
      <c r="P44" s="958"/>
      <c r="Q44" s="53">
        <f t="shared" si="19"/>
        <v>1</v>
      </c>
      <c r="R44" s="488">
        <f t="shared" si="20"/>
        <v>0</v>
      </c>
      <c r="S44" s="795">
        <f t="shared" si="11"/>
        <v>0</v>
      </c>
    </row>
    <row r="45" spans="1:19">
      <c r="A45" s="960"/>
      <c r="B45" s="137"/>
      <c r="C45" s="53">
        <f t="shared" si="12"/>
        <v>1</v>
      </c>
      <c r="D45" s="958"/>
      <c r="E45" s="53">
        <f t="shared" si="13"/>
        <v>1</v>
      </c>
      <c r="F45" s="958"/>
      <c r="G45" s="53">
        <f t="shared" si="14"/>
        <v>1</v>
      </c>
      <c r="H45" s="958"/>
      <c r="I45" s="53">
        <f t="shared" si="15"/>
        <v>1</v>
      </c>
      <c r="J45" s="958"/>
      <c r="K45" s="53">
        <f t="shared" si="16"/>
        <v>1</v>
      </c>
      <c r="L45" s="958"/>
      <c r="M45" s="53">
        <f t="shared" si="17"/>
        <v>1</v>
      </c>
      <c r="N45" s="958"/>
      <c r="O45" s="53">
        <f t="shared" si="18"/>
        <v>1</v>
      </c>
      <c r="P45" s="958"/>
      <c r="Q45" s="53">
        <f t="shared" si="19"/>
        <v>1</v>
      </c>
      <c r="R45" s="488">
        <f t="shared" si="20"/>
        <v>0</v>
      </c>
      <c r="S45" s="795">
        <f t="shared" si="11"/>
        <v>0</v>
      </c>
    </row>
    <row r="46" spans="1:19">
      <c r="A46" s="960"/>
      <c r="B46" s="137"/>
      <c r="C46" s="53">
        <f t="shared" si="12"/>
        <v>1</v>
      </c>
      <c r="D46" s="958"/>
      <c r="E46" s="53">
        <f t="shared" si="13"/>
        <v>1</v>
      </c>
      <c r="F46" s="958"/>
      <c r="G46" s="53">
        <f t="shared" si="14"/>
        <v>1</v>
      </c>
      <c r="H46" s="958"/>
      <c r="I46" s="53">
        <f t="shared" si="15"/>
        <v>1</v>
      </c>
      <c r="J46" s="958"/>
      <c r="K46" s="53">
        <f t="shared" si="16"/>
        <v>1</v>
      </c>
      <c r="L46" s="958"/>
      <c r="M46" s="53">
        <f t="shared" si="17"/>
        <v>1</v>
      </c>
      <c r="N46" s="958"/>
      <c r="O46" s="53">
        <f t="shared" si="18"/>
        <v>1</v>
      </c>
      <c r="P46" s="958"/>
      <c r="Q46" s="53">
        <f t="shared" si="19"/>
        <v>1</v>
      </c>
      <c r="R46" s="488">
        <f t="shared" si="20"/>
        <v>0</v>
      </c>
      <c r="S46" s="795">
        <f t="shared" si="11"/>
        <v>0</v>
      </c>
    </row>
    <row r="47" spans="1:19">
      <c r="A47" s="960"/>
      <c r="B47" s="137"/>
      <c r="C47" s="53">
        <f t="shared" si="12"/>
        <v>1</v>
      </c>
      <c r="D47" s="958"/>
      <c r="E47" s="53">
        <f t="shared" si="13"/>
        <v>1</v>
      </c>
      <c r="F47" s="958"/>
      <c r="G47" s="53">
        <f t="shared" si="14"/>
        <v>1</v>
      </c>
      <c r="H47" s="958"/>
      <c r="I47" s="53">
        <f t="shared" si="15"/>
        <v>1</v>
      </c>
      <c r="J47" s="958"/>
      <c r="K47" s="53">
        <f t="shared" si="16"/>
        <v>1</v>
      </c>
      <c r="L47" s="958"/>
      <c r="M47" s="53">
        <f t="shared" si="17"/>
        <v>1</v>
      </c>
      <c r="N47" s="958"/>
      <c r="O47" s="53">
        <f t="shared" si="18"/>
        <v>1</v>
      </c>
      <c r="P47" s="958"/>
      <c r="Q47" s="53">
        <f t="shared" si="19"/>
        <v>1</v>
      </c>
      <c r="R47" s="488">
        <f t="shared" si="20"/>
        <v>0</v>
      </c>
      <c r="S47" s="795">
        <f t="shared" si="11"/>
        <v>0</v>
      </c>
    </row>
    <row r="48" spans="1:19">
      <c r="A48" s="960"/>
      <c r="B48" s="137"/>
      <c r="C48" s="53">
        <f t="shared" si="12"/>
        <v>1</v>
      </c>
      <c r="D48" s="958"/>
      <c r="E48" s="53">
        <f t="shared" si="13"/>
        <v>1</v>
      </c>
      <c r="F48" s="958"/>
      <c r="G48" s="53">
        <f t="shared" si="14"/>
        <v>1</v>
      </c>
      <c r="H48" s="958"/>
      <c r="I48" s="53">
        <f t="shared" si="15"/>
        <v>1</v>
      </c>
      <c r="J48" s="958"/>
      <c r="K48" s="53">
        <f t="shared" si="16"/>
        <v>1</v>
      </c>
      <c r="L48" s="958"/>
      <c r="M48" s="53">
        <f t="shared" si="17"/>
        <v>1</v>
      </c>
      <c r="N48" s="958"/>
      <c r="O48" s="53">
        <f t="shared" si="18"/>
        <v>1</v>
      </c>
      <c r="P48" s="958"/>
      <c r="Q48" s="53">
        <f t="shared" si="19"/>
        <v>1</v>
      </c>
      <c r="R48" s="488">
        <f t="shared" si="20"/>
        <v>0</v>
      </c>
      <c r="S48" s="795">
        <f t="shared" si="11"/>
        <v>0</v>
      </c>
    </row>
    <row r="49" spans="1:19">
      <c r="A49" s="960"/>
      <c r="B49" s="137"/>
      <c r="C49" s="53">
        <f t="shared" si="12"/>
        <v>1</v>
      </c>
      <c r="D49" s="958"/>
      <c r="E49" s="53">
        <f t="shared" si="13"/>
        <v>1</v>
      </c>
      <c r="F49" s="958"/>
      <c r="G49" s="53">
        <f t="shared" si="14"/>
        <v>1</v>
      </c>
      <c r="H49" s="958"/>
      <c r="I49" s="53">
        <f t="shared" si="15"/>
        <v>1</v>
      </c>
      <c r="J49" s="958"/>
      <c r="K49" s="53">
        <f t="shared" si="16"/>
        <v>1</v>
      </c>
      <c r="L49" s="958"/>
      <c r="M49" s="53">
        <f t="shared" si="17"/>
        <v>1</v>
      </c>
      <c r="N49" s="958"/>
      <c r="O49" s="53">
        <f t="shared" si="18"/>
        <v>1</v>
      </c>
      <c r="P49" s="958"/>
      <c r="Q49" s="53">
        <f t="shared" si="19"/>
        <v>1</v>
      </c>
      <c r="R49" s="488">
        <f t="shared" si="20"/>
        <v>0</v>
      </c>
      <c r="S49" s="795">
        <f t="shared" si="11"/>
        <v>0</v>
      </c>
    </row>
    <row r="50" spans="1:19">
      <c r="A50" s="960"/>
      <c r="B50" s="137"/>
      <c r="C50" s="53">
        <f t="shared" si="12"/>
        <v>1</v>
      </c>
      <c r="D50" s="958"/>
      <c r="E50" s="53">
        <f t="shared" si="13"/>
        <v>1</v>
      </c>
      <c r="F50" s="958"/>
      <c r="G50" s="53">
        <f t="shared" si="14"/>
        <v>1</v>
      </c>
      <c r="H50" s="958"/>
      <c r="I50" s="53">
        <f t="shared" si="15"/>
        <v>1</v>
      </c>
      <c r="J50" s="958"/>
      <c r="K50" s="53">
        <f t="shared" si="16"/>
        <v>1</v>
      </c>
      <c r="L50" s="958"/>
      <c r="M50" s="53">
        <f t="shared" si="17"/>
        <v>1</v>
      </c>
      <c r="N50" s="958"/>
      <c r="O50" s="53">
        <f t="shared" si="18"/>
        <v>1</v>
      </c>
      <c r="P50" s="958"/>
      <c r="Q50" s="53">
        <f t="shared" si="19"/>
        <v>1</v>
      </c>
      <c r="R50" s="488">
        <f t="shared" si="20"/>
        <v>0</v>
      </c>
      <c r="S50" s="795">
        <f t="shared" si="11"/>
        <v>0</v>
      </c>
    </row>
    <row r="51" spans="1:19">
      <c r="A51" s="960"/>
      <c r="B51" s="137"/>
      <c r="C51" s="53">
        <f t="shared" si="12"/>
        <v>1</v>
      </c>
      <c r="D51" s="958"/>
      <c r="E51" s="53">
        <f t="shared" si="13"/>
        <v>1</v>
      </c>
      <c r="F51" s="958"/>
      <c r="G51" s="53">
        <f t="shared" si="14"/>
        <v>1</v>
      </c>
      <c r="H51" s="958"/>
      <c r="I51" s="53">
        <f t="shared" si="15"/>
        <v>1</v>
      </c>
      <c r="J51" s="958"/>
      <c r="K51" s="53">
        <f t="shared" si="16"/>
        <v>1</v>
      </c>
      <c r="L51" s="958"/>
      <c r="M51" s="53">
        <f t="shared" si="17"/>
        <v>1</v>
      </c>
      <c r="N51" s="958"/>
      <c r="O51" s="53">
        <f t="shared" si="18"/>
        <v>1</v>
      </c>
      <c r="P51" s="958"/>
      <c r="Q51" s="53">
        <f t="shared" si="19"/>
        <v>1</v>
      </c>
      <c r="R51" s="488">
        <f t="shared" si="20"/>
        <v>0</v>
      </c>
      <c r="S51" s="795">
        <f t="shared" si="11"/>
        <v>0</v>
      </c>
    </row>
    <row r="52" spans="1:19">
      <c r="A52" s="960"/>
      <c r="B52" s="137"/>
      <c r="C52" s="53">
        <f t="shared" si="12"/>
        <v>1</v>
      </c>
      <c r="D52" s="958"/>
      <c r="E52" s="53">
        <f t="shared" si="13"/>
        <v>1</v>
      </c>
      <c r="F52" s="958"/>
      <c r="G52" s="53">
        <f t="shared" si="14"/>
        <v>1</v>
      </c>
      <c r="H52" s="958"/>
      <c r="I52" s="53">
        <f t="shared" si="15"/>
        <v>1</v>
      </c>
      <c r="J52" s="958"/>
      <c r="K52" s="53">
        <f t="shared" si="16"/>
        <v>1</v>
      </c>
      <c r="L52" s="958"/>
      <c r="M52" s="53">
        <f t="shared" si="17"/>
        <v>1</v>
      </c>
      <c r="N52" s="958"/>
      <c r="O52" s="53">
        <f t="shared" si="18"/>
        <v>1</v>
      </c>
      <c r="P52" s="958"/>
      <c r="Q52" s="53">
        <f t="shared" si="19"/>
        <v>1</v>
      </c>
      <c r="R52" s="488">
        <f t="shared" si="20"/>
        <v>0</v>
      </c>
      <c r="S52" s="795">
        <f t="shared" si="11"/>
        <v>0</v>
      </c>
    </row>
    <row r="53" spans="1:19">
      <c r="A53" s="960"/>
      <c r="B53" s="137"/>
      <c r="C53" s="53">
        <f t="shared" si="12"/>
        <v>1</v>
      </c>
      <c r="D53" s="958"/>
      <c r="E53" s="53">
        <f t="shared" si="13"/>
        <v>1</v>
      </c>
      <c r="F53" s="958"/>
      <c r="G53" s="53">
        <f t="shared" si="14"/>
        <v>1</v>
      </c>
      <c r="H53" s="958"/>
      <c r="I53" s="53">
        <f t="shared" si="15"/>
        <v>1</v>
      </c>
      <c r="J53" s="958"/>
      <c r="K53" s="53">
        <f t="shared" si="16"/>
        <v>1</v>
      </c>
      <c r="L53" s="958"/>
      <c r="M53" s="53">
        <f t="shared" si="17"/>
        <v>1</v>
      </c>
      <c r="N53" s="958"/>
      <c r="O53" s="53">
        <f t="shared" si="18"/>
        <v>1</v>
      </c>
      <c r="P53" s="958"/>
      <c r="Q53" s="53">
        <f t="shared" si="19"/>
        <v>1</v>
      </c>
      <c r="R53" s="488">
        <f t="shared" si="20"/>
        <v>0</v>
      </c>
      <c r="S53" s="795">
        <f t="shared" si="11"/>
        <v>0</v>
      </c>
    </row>
    <row r="54" spans="1:19">
      <c r="A54" s="960"/>
      <c r="B54" s="137"/>
      <c r="C54" s="53">
        <f t="shared" si="12"/>
        <v>1</v>
      </c>
      <c r="D54" s="958"/>
      <c r="E54" s="53">
        <f t="shared" si="13"/>
        <v>1</v>
      </c>
      <c r="F54" s="958"/>
      <c r="G54" s="53">
        <f t="shared" si="14"/>
        <v>1</v>
      </c>
      <c r="H54" s="958"/>
      <c r="I54" s="53">
        <f t="shared" si="15"/>
        <v>1</v>
      </c>
      <c r="J54" s="958"/>
      <c r="K54" s="53">
        <f t="shared" si="16"/>
        <v>1</v>
      </c>
      <c r="L54" s="958"/>
      <c r="M54" s="53">
        <f t="shared" si="17"/>
        <v>1</v>
      </c>
      <c r="N54" s="958"/>
      <c r="O54" s="53">
        <f t="shared" si="18"/>
        <v>1</v>
      </c>
      <c r="P54" s="958"/>
      <c r="Q54" s="53">
        <f t="shared" si="19"/>
        <v>1</v>
      </c>
      <c r="R54" s="488">
        <f t="shared" si="20"/>
        <v>0</v>
      </c>
      <c r="S54" s="795">
        <f t="shared" si="11"/>
        <v>0</v>
      </c>
    </row>
    <row r="55" spans="1:19">
      <c r="A55" s="960"/>
      <c r="B55" s="137"/>
      <c r="C55" s="53">
        <f t="shared" si="12"/>
        <v>1</v>
      </c>
      <c r="D55" s="958"/>
      <c r="E55" s="53">
        <f t="shared" si="13"/>
        <v>1</v>
      </c>
      <c r="F55" s="958"/>
      <c r="G55" s="53">
        <f t="shared" si="14"/>
        <v>1</v>
      </c>
      <c r="H55" s="958"/>
      <c r="I55" s="53">
        <f t="shared" si="15"/>
        <v>1</v>
      </c>
      <c r="J55" s="958"/>
      <c r="K55" s="53">
        <f t="shared" si="16"/>
        <v>1</v>
      </c>
      <c r="L55" s="958"/>
      <c r="M55" s="53">
        <f t="shared" si="17"/>
        <v>1</v>
      </c>
      <c r="N55" s="958"/>
      <c r="O55" s="53">
        <f t="shared" si="18"/>
        <v>1</v>
      </c>
      <c r="P55" s="958"/>
      <c r="Q55" s="53">
        <f t="shared" si="19"/>
        <v>1</v>
      </c>
      <c r="R55" s="488">
        <f t="shared" si="20"/>
        <v>0</v>
      </c>
      <c r="S55" s="795">
        <f t="shared" ref="S55:S77" si="21">ROUND(R55*B55/10000,0)</f>
        <v>0</v>
      </c>
    </row>
    <row r="56" spans="1:19">
      <c r="A56" s="960"/>
      <c r="B56" s="137"/>
      <c r="C56" s="53">
        <f t="shared" si="12"/>
        <v>1</v>
      </c>
      <c r="D56" s="958"/>
      <c r="E56" s="53">
        <f t="shared" si="13"/>
        <v>1</v>
      </c>
      <c r="F56" s="958"/>
      <c r="G56" s="53">
        <f t="shared" si="14"/>
        <v>1</v>
      </c>
      <c r="H56" s="958"/>
      <c r="I56" s="53">
        <f t="shared" si="15"/>
        <v>1</v>
      </c>
      <c r="J56" s="958"/>
      <c r="K56" s="53">
        <f t="shared" si="16"/>
        <v>1</v>
      </c>
      <c r="L56" s="958"/>
      <c r="M56" s="53">
        <f t="shared" si="17"/>
        <v>1</v>
      </c>
      <c r="N56" s="958"/>
      <c r="O56" s="53">
        <f t="shared" si="18"/>
        <v>1</v>
      </c>
      <c r="P56" s="958"/>
      <c r="Q56" s="53">
        <f t="shared" si="19"/>
        <v>1</v>
      </c>
      <c r="R56" s="488">
        <f t="shared" si="20"/>
        <v>0</v>
      </c>
      <c r="S56" s="795">
        <f t="shared" si="21"/>
        <v>0</v>
      </c>
    </row>
    <row r="57" spans="1:19">
      <c r="A57" s="960"/>
      <c r="B57" s="137"/>
      <c r="C57" s="53">
        <f t="shared" si="12"/>
        <v>1</v>
      </c>
      <c r="D57" s="958"/>
      <c r="E57" s="53">
        <f t="shared" si="13"/>
        <v>1</v>
      </c>
      <c r="F57" s="958"/>
      <c r="G57" s="53">
        <f t="shared" si="14"/>
        <v>1</v>
      </c>
      <c r="H57" s="958"/>
      <c r="I57" s="53">
        <f t="shared" si="15"/>
        <v>1</v>
      </c>
      <c r="J57" s="958"/>
      <c r="K57" s="53">
        <f t="shared" si="16"/>
        <v>1</v>
      </c>
      <c r="L57" s="958"/>
      <c r="M57" s="53">
        <f t="shared" si="17"/>
        <v>1</v>
      </c>
      <c r="N57" s="958"/>
      <c r="O57" s="53">
        <f t="shared" si="18"/>
        <v>1</v>
      </c>
      <c r="P57" s="958"/>
      <c r="Q57" s="53">
        <f t="shared" si="19"/>
        <v>1</v>
      </c>
      <c r="R57" s="488">
        <f t="shared" si="20"/>
        <v>0</v>
      </c>
      <c r="S57" s="795">
        <f t="shared" si="21"/>
        <v>0</v>
      </c>
    </row>
    <row r="58" spans="1:19">
      <c r="A58" s="960"/>
      <c r="B58" s="137"/>
      <c r="C58" s="53">
        <f t="shared" si="12"/>
        <v>1</v>
      </c>
      <c r="D58" s="958"/>
      <c r="E58" s="53">
        <f t="shared" si="13"/>
        <v>1</v>
      </c>
      <c r="F58" s="958"/>
      <c r="G58" s="53">
        <f t="shared" si="14"/>
        <v>1</v>
      </c>
      <c r="H58" s="958"/>
      <c r="I58" s="53">
        <f t="shared" si="15"/>
        <v>1</v>
      </c>
      <c r="J58" s="958"/>
      <c r="K58" s="53">
        <f t="shared" si="16"/>
        <v>1</v>
      </c>
      <c r="L58" s="958"/>
      <c r="M58" s="53">
        <f t="shared" si="17"/>
        <v>1</v>
      </c>
      <c r="N58" s="958"/>
      <c r="O58" s="53">
        <f t="shared" si="18"/>
        <v>1</v>
      </c>
      <c r="P58" s="958"/>
      <c r="Q58" s="53">
        <f t="shared" si="19"/>
        <v>1</v>
      </c>
      <c r="R58" s="488">
        <f t="shared" si="20"/>
        <v>0</v>
      </c>
      <c r="S58" s="795">
        <f t="shared" si="21"/>
        <v>0</v>
      </c>
    </row>
    <row r="59" spans="1:19">
      <c r="A59" s="960"/>
      <c r="B59" s="137"/>
      <c r="C59" s="53">
        <f t="shared" si="12"/>
        <v>1</v>
      </c>
      <c r="D59" s="958"/>
      <c r="E59" s="53">
        <f t="shared" si="13"/>
        <v>1</v>
      </c>
      <c r="F59" s="958"/>
      <c r="G59" s="53">
        <f t="shared" si="14"/>
        <v>1</v>
      </c>
      <c r="H59" s="958"/>
      <c r="I59" s="53">
        <f t="shared" si="15"/>
        <v>1</v>
      </c>
      <c r="J59" s="958"/>
      <c r="K59" s="53">
        <f t="shared" si="16"/>
        <v>1</v>
      </c>
      <c r="L59" s="958"/>
      <c r="M59" s="53">
        <f t="shared" si="17"/>
        <v>1</v>
      </c>
      <c r="N59" s="958"/>
      <c r="O59" s="53">
        <f t="shared" si="18"/>
        <v>1</v>
      </c>
      <c r="P59" s="958"/>
      <c r="Q59" s="53">
        <f t="shared" si="19"/>
        <v>1</v>
      </c>
      <c r="R59" s="488">
        <f t="shared" si="20"/>
        <v>0</v>
      </c>
      <c r="S59" s="795">
        <f t="shared" si="21"/>
        <v>0</v>
      </c>
    </row>
    <row r="60" spans="1:19">
      <c r="A60" s="960"/>
      <c r="B60" s="137"/>
      <c r="C60" s="53">
        <f t="shared" si="12"/>
        <v>1</v>
      </c>
      <c r="D60" s="958"/>
      <c r="E60" s="53">
        <f t="shared" si="13"/>
        <v>1</v>
      </c>
      <c r="F60" s="958"/>
      <c r="G60" s="53">
        <f t="shared" si="14"/>
        <v>1</v>
      </c>
      <c r="H60" s="958"/>
      <c r="I60" s="53">
        <f t="shared" si="15"/>
        <v>1</v>
      </c>
      <c r="J60" s="958"/>
      <c r="K60" s="53">
        <f t="shared" si="16"/>
        <v>1</v>
      </c>
      <c r="L60" s="958"/>
      <c r="M60" s="53">
        <f t="shared" si="17"/>
        <v>1</v>
      </c>
      <c r="N60" s="958"/>
      <c r="O60" s="53">
        <f t="shared" si="18"/>
        <v>1</v>
      </c>
      <c r="P60" s="958"/>
      <c r="Q60" s="53">
        <f t="shared" si="19"/>
        <v>1</v>
      </c>
      <c r="R60" s="488">
        <f t="shared" si="20"/>
        <v>0</v>
      </c>
      <c r="S60" s="795">
        <f t="shared" si="21"/>
        <v>0</v>
      </c>
    </row>
    <row r="61" spans="1:19">
      <c r="A61" s="960"/>
      <c r="B61" s="137"/>
      <c r="C61" s="53">
        <f t="shared" si="12"/>
        <v>1</v>
      </c>
      <c r="D61" s="958"/>
      <c r="E61" s="53">
        <f t="shared" si="13"/>
        <v>1</v>
      </c>
      <c r="F61" s="958"/>
      <c r="G61" s="53">
        <f t="shared" si="14"/>
        <v>1</v>
      </c>
      <c r="H61" s="958"/>
      <c r="I61" s="53">
        <f t="shared" si="15"/>
        <v>1</v>
      </c>
      <c r="J61" s="958"/>
      <c r="K61" s="53">
        <f t="shared" si="16"/>
        <v>1</v>
      </c>
      <c r="L61" s="958"/>
      <c r="M61" s="53">
        <f t="shared" si="17"/>
        <v>1</v>
      </c>
      <c r="N61" s="958"/>
      <c r="O61" s="53">
        <f t="shared" si="18"/>
        <v>1</v>
      </c>
      <c r="P61" s="958"/>
      <c r="Q61" s="53">
        <f t="shared" si="19"/>
        <v>1</v>
      </c>
      <c r="R61" s="488">
        <f t="shared" si="20"/>
        <v>0</v>
      </c>
      <c r="S61" s="795">
        <f t="shared" si="21"/>
        <v>0</v>
      </c>
    </row>
    <row r="62" spans="1:19">
      <c r="A62" s="960"/>
      <c r="B62" s="137"/>
      <c r="C62" s="53">
        <f t="shared" si="12"/>
        <v>1</v>
      </c>
      <c r="D62" s="958"/>
      <c r="E62" s="53">
        <f t="shared" si="13"/>
        <v>1</v>
      </c>
      <c r="F62" s="958"/>
      <c r="G62" s="53">
        <f t="shared" si="14"/>
        <v>1</v>
      </c>
      <c r="H62" s="958"/>
      <c r="I62" s="53">
        <f t="shared" si="15"/>
        <v>1</v>
      </c>
      <c r="J62" s="958"/>
      <c r="K62" s="53">
        <f t="shared" si="16"/>
        <v>1</v>
      </c>
      <c r="L62" s="958"/>
      <c r="M62" s="53">
        <f t="shared" si="17"/>
        <v>1</v>
      </c>
      <c r="N62" s="958"/>
      <c r="O62" s="53">
        <f t="shared" si="18"/>
        <v>1</v>
      </c>
      <c r="P62" s="958"/>
      <c r="Q62" s="53">
        <f t="shared" si="19"/>
        <v>1</v>
      </c>
      <c r="R62" s="488">
        <f t="shared" si="20"/>
        <v>0</v>
      </c>
      <c r="S62" s="795">
        <f t="shared" si="21"/>
        <v>0</v>
      </c>
    </row>
    <row r="63" spans="1:19">
      <c r="A63" s="960"/>
      <c r="B63" s="137"/>
      <c r="C63" s="53">
        <f t="shared" si="12"/>
        <v>1</v>
      </c>
      <c r="D63" s="958"/>
      <c r="E63" s="53">
        <f t="shared" si="13"/>
        <v>1</v>
      </c>
      <c r="F63" s="958"/>
      <c r="G63" s="53">
        <f t="shared" si="14"/>
        <v>1</v>
      </c>
      <c r="H63" s="958"/>
      <c r="I63" s="53">
        <f t="shared" si="15"/>
        <v>1</v>
      </c>
      <c r="J63" s="958"/>
      <c r="K63" s="53">
        <f t="shared" si="16"/>
        <v>1</v>
      </c>
      <c r="L63" s="958"/>
      <c r="M63" s="53">
        <f t="shared" si="17"/>
        <v>1</v>
      </c>
      <c r="N63" s="958"/>
      <c r="O63" s="53">
        <f t="shared" si="18"/>
        <v>1</v>
      </c>
      <c r="P63" s="958"/>
      <c r="Q63" s="53">
        <f t="shared" si="19"/>
        <v>1</v>
      </c>
      <c r="R63" s="488">
        <f t="shared" si="20"/>
        <v>0</v>
      </c>
      <c r="S63" s="795">
        <f t="shared" si="21"/>
        <v>0</v>
      </c>
    </row>
    <row r="64" spans="1:19">
      <c r="A64" s="960"/>
      <c r="B64" s="137"/>
      <c r="C64" s="53">
        <f t="shared" si="12"/>
        <v>1</v>
      </c>
      <c r="D64" s="958"/>
      <c r="E64" s="53">
        <f t="shared" si="13"/>
        <v>1</v>
      </c>
      <c r="F64" s="958"/>
      <c r="G64" s="53">
        <f t="shared" si="14"/>
        <v>1</v>
      </c>
      <c r="H64" s="958"/>
      <c r="I64" s="53">
        <f t="shared" si="15"/>
        <v>1</v>
      </c>
      <c r="J64" s="958"/>
      <c r="K64" s="53">
        <f t="shared" si="16"/>
        <v>1</v>
      </c>
      <c r="L64" s="958"/>
      <c r="M64" s="53">
        <f t="shared" si="17"/>
        <v>1</v>
      </c>
      <c r="N64" s="958"/>
      <c r="O64" s="53">
        <f t="shared" si="18"/>
        <v>1</v>
      </c>
      <c r="P64" s="958"/>
      <c r="Q64" s="53">
        <f t="shared" si="19"/>
        <v>1</v>
      </c>
      <c r="R64" s="488">
        <f t="shared" si="20"/>
        <v>0</v>
      </c>
      <c r="S64" s="795">
        <f t="shared" si="21"/>
        <v>0</v>
      </c>
    </row>
    <row r="65" spans="1:19">
      <c r="A65" s="960"/>
      <c r="B65" s="137"/>
      <c r="C65" s="53">
        <f t="shared" si="12"/>
        <v>1</v>
      </c>
      <c r="D65" s="958"/>
      <c r="E65" s="53">
        <f t="shared" si="13"/>
        <v>1</v>
      </c>
      <c r="F65" s="958"/>
      <c r="G65" s="53">
        <f t="shared" si="14"/>
        <v>1</v>
      </c>
      <c r="H65" s="958"/>
      <c r="I65" s="53">
        <f t="shared" si="15"/>
        <v>1</v>
      </c>
      <c r="J65" s="958"/>
      <c r="K65" s="53">
        <f t="shared" si="16"/>
        <v>1</v>
      </c>
      <c r="L65" s="958"/>
      <c r="M65" s="53">
        <f t="shared" si="17"/>
        <v>1</v>
      </c>
      <c r="N65" s="958"/>
      <c r="O65" s="53">
        <f t="shared" si="18"/>
        <v>1</v>
      </c>
      <c r="P65" s="958"/>
      <c r="Q65" s="53">
        <f t="shared" si="19"/>
        <v>1</v>
      </c>
      <c r="R65" s="488">
        <f t="shared" si="20"/>
        <v>0</v>
      </c>
      <c r="S65" s="795">
        <f t="shared" si="21"/>
        <v>0</v>
      </c>
    </row>
    <row r="66" spans="1:19">
      <c r="A66" s="960"/>
      <c r="B66" s="137"/>
      <c r="C66" s="53">
        <f t="shared" si="12"/>
        <v>1</v>
      </c>
      <c r="D66" s="958"/>
      <c r="E66" s="53">
        <f t="shared" si="13"/>
        <v>1</v>
      </c>
      <c r="F66" s="958"/>
      <c r="G66" s="53">
        <f t="shared" si="14"/>
        <v>1</v>
      </c>
      <c r="H66" s="958"/>
      <c r="I66" s="53">
        <f t="shared" si="15"/>
        <v>1</v>
      </c>
      <c r="J66" s="958"/>
      <c r="K66" s="53">
        <f t="shared" si="16"/>
        <v>1</v>
      </c>
      <c r="L66" s="958"/>
      <c r="M66" s="53">
        <f t="shared" si="17"/>
        <v>1</v>
      </c>
      <c r="N66" s="958"/>
      <c r="O66" s="53">
        <f t="shared" si="18"/>
        <v>1</v>
      </c>
      <c r="P66" s="958"/>
      <c r="Q66" s="53">
        <f t="shared" si="19"/>
        <v>1</v>
      </c>
      <c r="R66" s="488">
        <f t="shared" si="20"/>
        <v>0</v>
      </c>
      <c r="S66" s="795">
        <f t="shared" si="21"/>
        <v>0</v>
      </c>
    </row>
    <row r="67" spans="1:19">
      <c r="A67" s="960"/>
      <c r="B67" s="137"/>
      <c r="C67" s="53">
        <f t="shared" si="12"/>
        <v>1</v>
      </c>
      <c r="D67" s="958"/>
      <c r="E67" s="53">
        <f t="shared" si="13"/>
        <v>1</v>
      </c>
      <c r="F67" s="958"/>
      <c r="G67" s="53">
        <f t="shared" si="14"/>
        <v>1</v>
      </c>
      <c r="H67" s="958"/>
      <c r="I67" s="53">
        <f t="shared" si="15"/>
        <v>1</v>
      </c>
      <c r="J67" s="958"/>
      <c r="K67" s="53">
        <f t="shared" si="16"/>
        <v>1</v>
      </c>
      <c r="L67" s="958"/>
      <c r="M67" s="53">
        <f t="shared" si="17"/>
        <v>1</v>
      </c>
      <c r="N67" s="958"/>
      <c r="O67" s="53">
        <f t="shared" si="18"/>
        <v>1</v>
      </c>
      <c r="P67" s="958"/>
      <c r="Q67" s="53">
        <f t="shared" si="19"/>
        <v>1</v>
      </c>
      <c r="R67" s="488">
        <f t="shared" si="20"/>
        <v>0</v>
      </c>
      <c r="S67" s="795">
        <f t="shared" si="21"/>
        <v>0</v>
      </c>
    </row>
    <row r="68" spans="1:19">
      <c r="A68" s="960"/>
      <c r="B68" s="137"/>
      <c r="C68" s="53">
        <f t="shared" si="12"/>
        <v>1</v>
      </c>
      <c r="D68" s="958"/>
      <c r="E68" s="53">
        <f t="shared" si="13"/>
        <v>1</v>
      </c>
      <c r="F68" s="958"/>
      <c r="G68" s="53">
        <f t="shared" si="14"/>
        <v>1</v>
      </c>
      <c r="H68" s="958"/>
      <c r="I68" s="53">
        <f t="shared" si="15"/>
        <v>1</v>
      </c>
      <c r="J68" s="958"/>
      <c r="K68" s="53">
        <f t="shared" si="16"/>
        <v>1</v>
      </c>
      <c r="L68" s="958"/>
      <c r="M68" s="53">
        <f t="shared" si="17"/>
        <v>1</v>
      </c>
      <c r="N68" s="958"/>
      <c r="O68" s="53">
        <f t="shared" si="18"/>
        <v>1</v>
      </c>
      <c r="P68" s="958"/>
      <c r="Q68" s="53">
        <f t="shared" si="19"/>
        <v>1</v>
      </c>
      <c r="R68" s="488">
        <f t="shared" si="20"/>
        <v>0</v>
      </c>
      <c r="S68" s="795">
        <f t="shared" si="21"/>
        <v>0</v>
      </c>
    </row>
    <row r="69" spans="1:19">
      <c r="A69" s="960"/>
      <c r="B69" s="137"/>
      <c r="C69" s="53">
        <f t="shared" si="12"/>
        <v>1</v>
      </c>
      <c r="D69" s="958"/>
      <c r="E69" s="53">
        <f t="shared" si="13"/>
        <v>1</v>
      </c>
      <c r="F69" s="958"/>
      <c r="G69" s="53">
        <f t="shared" si="14"/>
        <v>1</v>
      </c>
      <c r="H69" s="958"/>
      <c r="I69" s="53">
        <f t="shared" si="15"/>
        <v>1</v>
      </c>
      <c r="J69" s="958"/>
      <c r="K69" s="53">
        <f t="shared" si="16"/>
        <v>1</v>
      </c>
      <c r="L69" s="958"/>
      <c r="M69" s="53">
        <f t="shared" si="17"/>
        <v>1</v>
      </c>
      <c r="N69" s="958"/>
      <c r="O69" s="53">
        <f t="shared" si="18"/>
        <v>1</v>
      </c>
      <c r="P69" s="958"/>
      <c r="Q69" s="53">
        <f t="shared" si="19"/>
        <v>1</v>
      </c>
      <c r="R69" s="488">
        <f t="shared" si="20"/>
        <v>0</v>
      </c>
      <c r="S69" s="795">
        <f t="shared" si="21"/>
        <v>0</v>
      </c>
    </row>
    <row r="70" spans="1:19">
      <c r="A70" s="960"/>
      <c r="B70" s="137"/>
      <c r="C70" s="53">
        <f t="shared" si="12"/>
        <v>1</v>
      </c>
      <c r="D70" s="958"/>
      <c r="E70" s="53">
        <f t="shared" si="13"/>
        <v>1</v>
      </c>
      <c r="F70" s="958"/>
      <c r="G70" s="53">
        <f t="shared" si="14"/>
        <v>1</v>
      </c>
      <c r="H70" s="958"/>
      <c r="I70" s="53">
        <f t="shared" si="15"/>
        <v>1</v>
      </c>
      <c r="J70" s="958"/>
      <c r="K70" s="53">
        <f t="shared" si="16"/>
        <v>1</v>
      </c>
      <c r="L70" s="958"/>
      <c r="M70" s="53">
        <f t="shared" si="17"/>
        <v>1</v>
      </c>
      <c r="N70" s="958"/>
      <c r="O70" s="53">
        <f t="shared" si="18"/>
        <v>1</v>
      </c>
      <c r="P70" s="958"/>
      <c r="Q70" s="53">
        <f t="shared" si="19"/>
        <v>1</v>
      </c>
      <c r="R70" s="488">
        <f t="shared" si="20"/>
        <v>0</v>
      </c>
      <c r="S70" s="795">
        <f t="shared" si="21"/>
        <v>0</v>
      </c>
    </row>
    <row r="71" spans="1:19">
      <c r="A71" s="960"/>
      <c r="B71" s="137"/>
      <c r="C71" s="53">
        <f t="shared" si="12"/>
        <v>1</v>
      </c>
      <c r="D71" s="958"/>
      <c r="E71" s="53">
        <f t="shared" si="13"/>
        <v>1</v>
      </c>
      <c r="F71" s="958"/>
      <c r="G71" s="53">
        <f t="shared" si="14"/>
        <v>1</v>
      </c>
      <c r="H71" s="958"/>
      <c r="I71" s="53">
        <f t="shared" si="15"/>
        <v>1</v>
      </c>
      <c r="J71" s="958"/>
      <c r="K71" s="53">
        <f t="shared" si="16"/>
        <v>1</v>
      </c>
      <c r="L71" s="958"/>
      <c r="M71" s="53">
        <f t="shared" si="17"/>
        <v>1</v>
      </c>
      <c r="N71" s="958"/>
      <c r="O71" s="53">
        <f t="shared" si="18"/>
        <v>1</v>
      </c>
      <c r="P71" s="958"/>
      <c r="Q71" s="53">
        <f t="shared" si="19"/>
        <v>1</v>
      </c>
      <c r="R71" s="488">
        <f t="shared" si="20"/>
        <v>0</v>
      </c>
      <c r="S71" s="795">
        <f t="shared" si="21"/>
        <v>0</v>
      </c>
    </row>
    <row r="72" spans="1:19">
      <c r="A72" s="960"/>
      <c r="B72" s="137"/>
      <c r="C72" s="53">
        <f t="shared" si="12"/>
        <v>1</v>
      </c>
      <c r="D72" s="958"/>
      <c r="E72" s="53">
        <f t="shared" si="13"/>
        <v>1</v>
      </c>
      <c r="F72" s="958"/>
      <c r="G72" s="53">
        <f t="shared" si="14"/>
        <v>1</v>
      </c>
      <c r="H72" s="958"/>
      <c r="I72" s="53">
        <f t="shared" si="15"/>
        <v>1</v>
      </c>
      <c r="J72" s="958"/>
      <c r="K72" s="53">
        <f t="shared" si="16"/>
        <v>1</v>
      </c>
      <c r="L72" s="958"/>
      <c r="M72" s="53">
        <f t="shared" si="17"/>
        <v>1</v>
      </c>
      <c r="N72" s="958"/>
      <c r="O72" s="53">
        <f t="shared" si="18"/>
        <v>1</v>
      </c>
      <c r="P72" s="958"/>
      <c r="Q72" s="53">
        <f t="shared" si="19"/>
        <v>1</v>
      </c>
      <c r="R72" s="488">
        <f t="shared" si="20"/>
        <v>0</v>
      </c>
      <c r="S72" s="795">
        <f t="shared" si="21"/>
        <v>0</v>
      </c>
    </row>
    <row r="73" spans="1:19">
      <c r="A73" s="960"/>
      <c r="B73" s="137"/>
      <c r="C73" s="53">
        <f t="shared" si="12"/>
        <v>1</v>
      </c>
      <c r="D73" s="958"/>
      <c r="E73" s="53">
        <f t="shared" si="13"/>
        <v>1</v>
      </c>
      <c r="F73" s="958"/>
      <c r="G73" s="53">
        <f t="shared" si="14"/>
        <v>1</v>
      </c>
      <c r="H73" s="958"/>
      <c r="I73" s="53">
        <f t="shared" si="15"/>
        <v>1</v>
      </c>
      <c r="J73" s="958"/>
      <c r="K73" s="53">
        <f t="shared" si="16"/>
        <v>1</v>
      </c>
      <c r="L73" s="958"/>
      <c r="M73" s="53">
        <f t="shared" si="17"/>
        <v>1</v>
      </c>
      <c r="N73" s="958"/>
      <c r="O73" s="53">
        <f t="shared" si="18"/>
        <v>1</v>
      </c>
      <c r="P73" s="958"/>
      <c r="Q73" s="53">
        <f t="shared" si="19"/>
        <v>1</v>
      </c>
      <c r="R73" s="488">
        <f t="shared" si="20"/>
        <v>0</v>
      </c>
      <c r="S73" s="795">
        <f t="shared" si="21"/>
        <v>0</v>
      </c>
    </row>
    <row r="74" spans="1:19">
      <c r="A74" s="960"/>
      <c r="B74" s="137"/>
      <c r="C74" s="53">
        <f t="shared" si="12"/>
        <v>1</v>
      </c>
      <c r="D74" s="958"/>
      <c r="E74" s="53">
        <f t="shared" si="13"/>
        <v>1</v>
      </c>
      <c r="F74" s="958"/>
      <c r="G74" s="53">
        <f t="shared" si="14"/>
        <v>1</v>
      </c>
      <c r="H74" s="958"/>
      <c r="I74" s="53">
        <f t="shared" si="15"/>
        <v>1</v>
      </c>
      <c r="J74" s="958"/>
      <c r="K74" s="53">
        <f t="shared" si="16"/>
        <v>1</v>
      </c>
      <c r="L74" s="958"/>
      <c r="M74" s="53">
        <f t="shared" si="17"/>
        <v>1</v>
      </c>
      <c r="N74" s="958"/>
      <c r="O74" s="53">
        <f t="shared" si="18"/>
        <v>1</v>
      </c>
      <c r="P74" s="958"/>
      <c r="Q74" s="53">
        <f t="shared" si="19"/>
        <v>1</v>
      </c>
      <c r="R74" s="488">
        <f t="shared" si="20"/>
        <v>0</v>
      </c>
      <c r="S74" s="795">
        <f t="shared" si="21"/>
        <v>0</v>
      </c>
    </row>
    <row r="75" spans="1:19">
      <c r="A75" s="960"/>
      <c r="B75" s="137"/>
      <c r="C75" s="53">
        <f t="shared" si="12"/>
        <v>1</v>
      </c>
      <c r="D75" s="958"/>
      <c r="E75" s="53">
        <f t="shared" si="13"/>
        <v>1</v>
      </c>
      <c r="F75" s="958"/>
      <c r="G75" s="53">
        <f t="shared" si="14"/>
        <v>1</v>
      </c>
      <c r="H75" s="958"/>
      <c r="I75" s="53">
        <f t="shared" si="15"/>
        <v>1</v>
      </c>
      <c r="J75" s="958"/>
      <c r="K75" s="53">
        <f t="shared" si="16"/>
        <v>1</v>
      </c>
      <c r="L75" s="958"/>
      <c r="M75" s="53">
        <f t="shared" si="17"/>
        <v>1</v>
      </c>
      <c r="N75" s="958"/>
      <c r="O75" s="53">
        <f t="shared" si="18"/>
        <v>1</v>
      </c>
      <c r="P75" s="958"/>
      <c r="Q75" s="53">
        <f t="shared" si="19"/>
        <v>1</v>
      </c>
      <c r="R75" s="488">
        <f t="shared" si="20"/>
        <v>0</v>
      </c>
      <c r="S75" s="795">
        <f t="shared" si="21"/>
        <v>0</v>
      </c>
    </row>
    <row r="76" spans="1:19">
      <c r="A76" s="960"/>
      <c r="B76" s="137"/>
      <c r="C76" s="53">
        <f t="shared" si="12"/>
        <v>1</v>
      </c>
      <c r="D76" s="958"/>
      <c r="E76" s="53">
        <f t="shared" si="13"/>
        <v>1</v>
      </c>
      <c r="F76" s="958"/>
      <c r="G76" s="53">
        <f t="shared" si="14"/>
        <v>1</v>
      </c>
      <c r="H76" s="958"/>
      <c r="I76" s="53">
        <f t="shared" si="15"/>
        <v>1</v>
      </c>
      <c r="J76" s="958"/>
      <c r="K76" s="53">
        <f t="shared" si="16"/>
        <v>1</v>
      </c>
      <c r="L76" s="958"/>
      <c r="M76" s="53">
        <f t="shared" si="17"/>
        <v>1</v>
      </c>
      <c r="N76" s="958"/>
      <c r="O76" s="53">
        <f t="shared" si="18"/>
        <v>1</v>
      </c>
      <c r="P76" s="958"/>
      <c r="Q76" s="53">
        <f t="shared" si="19"/>
        <v>1</v>
      </c>
      <c r="R76" s="488">
        <f t="shared" si="20"/>
        <v>0</v>
      </c>
      <c r="S76" s="795">
        <f t="shared" si="21"/>
        <v>0</v>
      </c>
    </row>
    <row r="77" spans="1:19">
      <c r="A77" s="960"/>
      <c r="B77" s="137"/>
      <c r="C77" s="53">
        <f t="shared" si="12"/>
        <v>1</v>
      </c>
      <c r="D77" s="958"/>
      <c r="E77" s="53">
        <f t="shared" si="13"/>
        <v>1</v>
      </c>
      <c r="F77" s="958"/>
      <c r="G77" s="53">
        <f t="shared" si="14"/>
        <v>1</v>
      </c>
      <c r="H77" s="958"/>
      <c r="I77" s="53">
        <f t="shared" si="15"/>
        <v>1</v>
      </c>
      <c r="J77" s="958"/>
      <c r="K77" s="53">
        <f t="shared" si="16"/>
        <v>1</v>
      </c>
      <c r="L77" s="958"/>
      <c r="M77" s="53">
        <f t="shared" si="17"/>
        <v>1</v>
      </c>
      <c r="N77" s="958"/>
      <c r="O77" s="53">
        <f t="shared" si="18"/>
        <v>1</v>
      </c>
      <c r="P77" s="958"/>
      <c r="Q77" s="53">
        <f t="shared" si="19"/>
        <v>1</v>
      </c>
      <c r="R77" s="488">
        <f t="shared" si="20"/>
        <v>0</v>
      </c>
      <c r="S77" s="795">
        <f t="shared" si="21"/>
        <v>0</v>
      </c>
    </row>
    <row r="78" spans="1:19">
      <c r="A78" s="960"/>
      <c r="B78" s="137"/>
      <c r="C78" s="53">
        <f t="shared" si="12"/>
        <v>1</v>
      </c>
      <c r="D78" s="958"/>
      <c r="E78" s="53">
        <f t="shared" si="13"/>
        <v>1</v>
      </c>
      <c r="F78" s="958"/>
      <c r="G78" s="53">
        <f t="shared" si="14"/>
        <v>1</v>
      </c>
      <c r="H78" s="958"/>
      <c r="I78" s="53">
        <f t="shared" si="15"/>
        <v>1</v>
      </c>
      <c r="J78" s="958"/>
      <c r="K78" s="53">
        <f t="shared" si="16"/>
        <v>1</v>
      </c>
      <c r="L78" s="958"/>
      <c r="M78" s="53">
        <f t="shared" si="17"/>
        <v>1</v>
      </c>
      <c r="N78" s="958"/>
      <c r="O78" s="53">
        <f t="shared" si="18"/>
        <v>1</v>
      </c>
      <c r="P78" s="958"/>
      <c r="Q78" s="53">
        <f t="shared" si="19"/>
        <v>1</v>
      </c>
      <c r="R78" s="488">
        <f t="shared" si="20"/>
        <v>0</v>
      </c>
      <c r="S78" s="795">
        <f t="shared" ref="S78:S122" si="22">ROUND(R78*B78/10000,0)</f>
        <v>0</v>
      </c>
    </row>
    <row r="79" spans="1:19">
      <c r="A79" s="960"/>
      <c r="B79" s="137"/>
      <c r="C79" s="53">
        <f t="shared" si="12"/>
        <v>1</v>
      </c>
      <c r="D79" s="958"/>
      <c r="E79" s="53">
        <f t="shared" si="13"/>
        <v>1</v>
      </c>
      <c r="F79" s="958"/>
      <c r="G79" s="53">
        <f t="shared" si="14"/>
        <v>1</v>
      </c>
      <c r="H79" s="958"/>
      <c r="I79" s="53">
        <f t="shared" si="15"/>
        <v>1</v>
      </c>
      <c r="J79" s="958"/>
      <c r="K79" s="53">
        <f t="shared" si="16"/>
        <v>1</v>
      </c>
      <c r="L79" s="958"/>
      <c r="M79" s="53">
        <f t="shared" si="17"/>
        <v>1</v>
      </c>
      <c r="N79" s="958"/>
      <c r="O79" s="53">
        <f t="shared" si="18"/>
        <v>1</v>
      </c>
      <c r="P79" s="958"/>
      <c r="Q79" s="53">
        <f t="shared" si="19"/>
        <v>1</v>
      </c>
      <c r="R79" s="488">
        <f t="shared" si="20"/>
        <v>0</v>
      </c>
      <c r="S79" s="795">
        <f t="shared" si="22"/>
        <v>0</v>
      </c>
    </row>
    <row r="80" spans="1:19">
      <c r="A80" s="960"/>
      <c r="B80" s="137"/>
      <c r="C80" s="53">
        <f t="shared" si="12"/>
        <v>1</v>
      </c>
      <c r="D80" s="958"/>
      <c r="E80" s="53">
        <f t="shared" si="13"/>
        <v>1</v>
      </c>
      <c r="F80" s="958"/>
      <c r="G80" s="53">
        <f t="shared" si="14"/>
        <v>1</v>
      </c>
      <c r="H80" s="958"/>
      <c r="I80" s="53">
        <f t="shared" si="15"/>
        <v>1</v>
      </c>
      <c r="J80" s="958"/>
      <c r="K80" s="53">
        <f t="shared" si="16"/>
        <v>1</v>
      </c>
      <c r="L80" s="958"/>
      <c r="M80" s="53">
        <f t="shared" si="17"/>
        <v>1</v>
      </c>
      <c r="N80" s="958"/>
      <c r="O80" s="53">
        <f t="shared" si="18"/>
        <v>1</v>
      </c>
      <c r="P80" s="958"/>
      <c r="Q80" s="53">
        <f t="shared" si="19"/>
        <v>1</v>
      </c>
      <c r="R80" s="488">
        <f t="shared" si="20"/>
        <v>0</v>
      </c>
      <c r="S80" s="795">
        <f t="shared" si="22"/>
        <v>0</v>
      </c>
    </row>
    <row r="81" spans="1:19">
      <c r="A81" s="960"/>
      <c r="B81" s="137"/>
      <c r="C81" s="53">
        <f t="shared" si="12"/>
        <v>1</v>
      </c>
      <c r="D81" s="958"/>
      <c r="E81" s="53">
        <f t="shared" si="13"/>
        <v>1</v>
      </c>
      <c r="F81" s="958"/>
      <c r="G81" s="53">
        <f t="shared" si="14"/>
        <v>1</v>
      </c>
      <c r="H81" s="958"/>
      <c r="I81" s="53">
        <f t="shared" si="15"/>
        <v>1</v>
      </c>
      <c r="J81" s="958"/>
      <c r="K81" s="53">
        <f t="shared" si="16"/>
        <v>1</v>
      </c>
      <c r="L81" s="958"/>
      <c r="M81" s="53">
        <f t="shared" si="17"/>
        <v>1</v>
      </c>
      <c r="N81" s="958"/>
      <c r="O81" s="53">
        <f t="shared" si="18"/>
        <v>1</v>
      </c>
      <c r="P81" s="958"/>
      <c r="Q81" s="53">
        <f t="shared" si="19"/>
        <v>1</v>
      </c>
      <c r="R81" s="488">
        <f t="shared" si="20"/>
        <v>0</v>
      </c>
      <c r="S81" s="795">
        <f t="shared" si="22"/>
        <v>0</v>
      </c>
    </row>
    <row r="82" spans="1:19">
      <c r="A82" s="960"/>
      <c r="B82" s="137"/>
      <c r="C82" s="53">
        <f t="shared" si="12"/>
        <v>1</v>
      </c>
      <c r="D82" s="958"/>
      <c r="E82" s="53">
        <f t="shared" si="13"/>
        <v>1</v>
      </c>
      <c r="F82" s="958"/>
      <c r="G82" s="53">
        <f t="shared" si="14"/>
        <v>1</v>
      </c>
      <c r="H82" s="958"/>
      <c r="I82" s="53">
        <f t="shared" si="15"/>
        <v>1</v>
      </c>
      <c r="J82" s="958"/>
      <c r="K82" s="53">
        <f t="shared" si="16"/>
        <v>1</v>
      </c>
      <c r="L82" s="958"/>
      <c r="M82" s="53">
        <f t="shared" si="17"/>
        <v>1</v>
      </c>
      <c r="N82" s="958"/>
      <c r="O82" s="53">
        <f t="shared" si="18"/>
        <v>1</v>
      </c>
      <c r="P82" s="958"/>
      <c r="Q82" s="53">
        <f t="shared" si="19"/>
        <v>1</v>
      </c>
      <c r="R82" s="488">
        <f t="shared" si="20"/>
        <v>0</v>
      </c>
      <c r="S82" s="795">
        <f t="shared" si="22"/>
        <v>0</v>
      </c>
    </row>
    <row r="83" spans="1:19">
      <c r="A83" s="960"/>
      <c r="B83" s="137"/>
      <c r="C83" s="53">
        <f t="shared" si="12"/>
        <v>1</v>
      </c>
      <c r="D83" s="958"/>
      <c r="E83" s="53">
        <f t="shared" si="13"/>
        <v>1</v>
      </c>
      <c r="F83" s="958"/>
      <c r="G83" s="53">
        <f t="shared" si="14"/>
        <v>1</v>
      </c>
      <c r="H83" s="958"/>
      <c r="I83" s="53">
        <f t="shared" si="15"/>
        <v>1</v>
      </c>
      <c r="J83" s="958"/>
      <c r="K83" s="53">
        <f t="shared" si="16"/>
        <v>1</v>
      </c>
      <c r="L83" s="958"/>
      <c r="M83" s="53">
        <f t="shared" si="17"/>
        <v>1</v>
      </c>
      <c r="N83" s="958"/>
      <c r="O83" s="53">
        <f t="shared" si="18"/>
        <v>1</v>
      </c>
      <c r="P83" s="958"/>
      <c r="Q83" s="53">
        <f t="shared" si="19"/>
        <v>1</v>
      </c>
      <c r="R83" s="488">
        <f t="shared" si="20"/>
        <v>0</v>
      </c>
      <c r="S83" s="795">
        <f t="shared" si="22"/>
        <v>0</v>
      </c>
    </row>
    <row r="84" spans="1:19">
      <c r="A84" s="960"/>
      <c r="B84" s="137"/>
      <c r="C84" s="53">
        <f t="shared" si="12"/>
        <v>1</v>
      </c>
      <c r="D84" s="958"/>
      <c r="E84" s="53">
        <f t="shared" si="13"/>
        <v>1</v>
      </c>
      <c r="F84" s="958"/>
      <c r="G84" s="53">
        <f t="shared" si="14"/>
        <v>1</v>
      </c>
      <c r="H84" s="958"/>
      <c r="I84" s="53">
        <f t="shared" si="15"/>
        <v>1</v>
      </c>
      <c r="J84" s="958"/>
      <c r="K84" s="53">
        <f t="shared" si="16"/>
        <v>1</v>
      </c>
      <c r="L84" s="958"/>
      <c r="M84" s="53">
        <f t="shared" si="17"/>
        <v>1</v>
      </c>
      <c r="N84" s="958"/>
      <c r="O84" s="53">
        <f t="shared" si="18"/>
        <v>1</v>
      </c>
      <c r="P84" s="958"/>
      <c r="Q84" s="53">
        <f t="shared" si="19"/>
        <v>1</v>
      </c>
      <c r="R84" s="488">
        <f t="shared" si="20"/>
        <v>0</v>
      </c>
      <c r="S84" s="795">
        <f t="shared" si="22"/>
        <v>0</v>
      </c>
    </row>
    <row r="85" spans="1:19">
      <c r="A85" s="960"/>
      <c r="B85" s="137"/>
      <c r="C85" s="53">
        <f t="shared" si="12"/>
        <v>1</v>
      </c>
      <c r="D85" s="958"/>
      <c r="E85" s="53">
        <f t="shared" si="13"/>
        <v>1</v>
      </c>
      <c r="F85" s="958"/>
      <c r="G85" s="53">
        <f t="shared" si="14"/>
        <v>1</v>
      </c>
      <c r="H85" s="958"/>
      <c r="I85" s="53">
        <f t="shared" si="15"/>
        <v>1</v>
      </c>
      <c r="J85" s="958"/>
      <c r="K85" s="53">
        <f t="shared" si="16"/>
        <v>1</v>
      </c>
      <c r="L85" s="958"/>
      <c r="M85" s="53">
        <f t="shared" si="17"/>
        <v>1</v>
      </c>
      <c r="N85" s="958"/>
      <c r="O85" s="53">
        <f t="shared" si="18"/>
        <v>1</v>
      </c>
      <c r="P85" s="958"/>
      <c r="Q85" s="53">
        <f t="shared" si="19"/>
        <v>1</v>
      </c>
      <c r="R85" s="488">
        <f t="shared" si="20"/>
        <v>0</v>
      </c>
      <c r="S85" s="795">
        <f t="shared" si="22"/>
        <v>0</v>
      </c>
    </row>
    <row r="86" spans="1:19">
      <c r="A86" s="960"/>
      <c r="B86" s="137"/>
      <c r="C86" s="53">
        <f t="shared" si="12"/>
        <v>1</v>
      </c>
      <c r="D86" s="958"/>
      <c r="E86" s="53">
        <f t="shared" si="13"/>
        <v>1</v>
      </c>
      <c r="F86" s="958"/>
      <c r="G86" s="53">
        <f t="shared" si="14"/>
        <v>1</v>
      </c>
      <c r="H86" s="958"/>
      <c r="I86" s="53">
        <f t="shared" si="15"/>
        <v>1</v>
      </c>
      <c r="J86" s="958"/>
      <c r="K86" s="53">
        <f t="shared" si="16"/>
        <v>1</v>
      </c>
      <c r="L86" s="958"/>
      <c r="M86" s="53">
        <f t="shared" si="17"/>
        <v>1</v>
      </c>
      <c r="N86" s="958"/>
      <c r="O86" s="53">
        <f t="shared" si="18"/>
        <v>1</v>
      </c>
      <c r="P86" s="958"/>
      <c r="Q86" s="53">
        <f t="shared" si="19"/>
        <v>1</v>
      </c>
      <c r="R86" s="488">
        <f t="shared" si="20"/>
        <v>0</v>
      </c>
      <c r="S86" s="795">
        <f t="shared" si="22"/>
        <v>0</v>
      </c>
    </row>
    <row r="87" spans="1:19">
      <c r="A87" s="960"/>
      <c r="B87" s="137"/>
      <c r="C87" s="53">
        <f t="shared" si="12"/>
        <v>1</v>
      </c>
      <c r="D87" s="958"/>
      <c r="E87" s="53">
        <f t="shared" si="13"/>
        <v>1</v>
      </c>
      <c r="F87" s="958"/>
      <c r="G87" s="53">
        <f t="shared" si="14"/>
        <v>1</v>
      </c>
      <c r="H87" s="958"/>
      <c r="I87" s="53">
        <f t="shared" si="15"/>
        <v>1</v>
      </c>
      <c r="J87" s="958"/>
      <c r="K87" s="53">
        <f t="shared" si="16"/>
        <v>1</v>
      </c>
      <c r="L87" s="958"/>
      <c r="M87" s="53">
        <f t="shared" si="17"/>
        <v>1</v>
      </c>
      <c r="N87" s="958"/>
      <c r="O87" s="53">
        <f t="shared" si="18"/>
        <v>1</v>
      </c>
      <c r="P87" s="958"/>
      <c r="Q87" s="53">
        <f t="shared" si="19"/>
        <v>1</v>
      </c>
      <c r="R87" s="488">
        <f t="shared" si="20"/>
        <v>0</v>
      </c>
      <c r="S87" s="795">
        <f t="shared" si="22"/>
        <v>0</v>
      </c>
    </row>
    <row r="88" spans="1:19">
      <c r="A88" s="960"/>
      <c r="B88" s="137"/>
      <c r="C88" s="53">
        <f t="shared" si="12"/>
        <v>1</v>
      </c>
      <c r="D88" s="958"/>
      <c r="E88" s="53">
        <f t="shared" si="13"/>
        <v>1</v>
      </c>
      <c r="F88" s="958"/>
      <c r="G88" s="53">
        <f t="shared" si="14"/>
        <v>1</v>
      </c>
      <c r="H88" s="958"/>
      <c r="I88" s="53">
        <f t="shared" si="15"/>
        <v>1</v>
      </c>
      <c r="J88" s="958"/>
      <c r="K88" s="53">
        <f t="shared" si="16"/>
        <v>1</v>
      </c>
      <c r="L88" s="958"/>
      <c r="M88" s="53">
        <f t="shared" si="17"/>
        <v>1</v>
      </c>
      <c r="N88" s="958"/>
      <c r="O88" s="53">
        <f t="shared" si="18"/>
        <v>1</v>
      </c>
      <c r="P88" s="958"/>
      <c r="Q88" s="53">
        <f t="shared" si="19"/>
        <v>1</v>
      </c>
      <c r="R88" s="488">
        <f t="shared" si="20"/>
        <v>0</v>
      </c>
      <c r="S88" s="795">
        <f t="shared" si="22"/>
        <v>0</v>
      </c>
    </row>
    <row r="89" spans="1:19">
      <c r="A89" s="960"/>
      <c r="B89" s="137"/>
      <c r="C89" s="53">
        <f t="shared" si="12"/>
        <v>1</v>
      </c>
      <c r="D89" s="958"/>
      <c r="E89" s="53">
        <f t="shared" si="13"/>
        <v>1</v>
      </c>
      <c r="F89" s="958"/>
      <c r="G89" s="53">
        <f t="shared" si="14"/>
        <v>1</v>
      </c>
      <c r="H89" s="958"/>
      <c r="I89" s="53">
        <f t="shared" si="15"/>
        <v>1</v>
      </c>
      <c r="J89" s="958"/>
      <c r="K89" s="53">
        <f t="shared" si="16"/>
        <v>1</v>
      </c>
      <c r="L89" s="958"/>
      <c r="M89" s="53">
        <f t="shared" si="17"/>
        <v>1</v>
      </c>
      <c r="N89" s="958"/>
      <c r="O89" s="53">
        <f t="shared" si="18"/>
        <v>1</v>
      </c>
      <c r="P89" s="958"/>
      <c r="Q89" s="53">
        <f t="shared" si="19"/>
        <v>1</v>
      </c>
      <c r="R89" s="488">
        <f t="shared" si="20"/>
        <v>0</v>
      </c>
      <c r="S89" s="795">
        <f t="shared" si="22"/>
        <v>0</v>
      </c>
    </row>
    <row r="90" spans="1:19">
      <c r="A90" s="960"/>
      <c r="B90" s="137"/>
      <c r="C90" s="53">
        <f t="shared" ref="C90:C153" si="23">IF(B90="",1,(LOOKUP(B90,$3:$3,$4:$4)-LOOKUP($B$24,$3:$3,$4:$4)+100)/100)</f>
        <v>1</v>
      </c>
      <c r="D90" s="958"/>
      <c r="E90" s="53">
        <f t="shared" ref="E90:E153" si="24">(SUMIF($5:$5,D90,$6:$6)-SUMIF($5:$5,$D$24,$6:$6)+100)/100</f>
        <v>1</v>
      </c>
      <c r="F90" s="958"/>
      <c r="G90" s="53">
        <f t="shared" ref="G90:G153" si="25">(SUMIF($7:$7,F90,$8:$8)-SUMIF($7:$7,$F$24,$8:$8)+100)/100</f>
        <v>1</v>
      </c>
      <c r="H90" s="958"/>
      <c r="I90" s="53">
        <f t="shared" ref="I90:I153" si="26">(SUMIF($9:$9,H90,$10:$10)-SUMIF($9:$9,$H$24,$10:$10)+100)/100</f>
        <v>1</v>
      </c>
      <c r="J90" s="958"/>
      <c r="K90" s="53">
        <f t="shared" ref="K90:K153" si="27">(SUMIF($11:$11,J90,$12:$12)-SUMIF($11:$11,$J$24,$12:$12)+100)/100</f>
        <v>1</v>
      </c>
      <c r="L90" s="958"/>
      <c r="M90" s="53">
        <f t="shared" ref="M90:M153" si="28">(SUMIF($13:$13,L90,$14:$14)-SUMIF($13:$13,$L$24,$14:$14)+100)/100</f>
        <v>1</v>
      </c>
      <c r="N90" s="958"/>
      <c r="O90" s="53">
        <f t="shared" ref="O90:O153" si="29">(SUMIF($15:$15,N90,$16:$16)-SUMIF($15:$15,$N$24,$16:$16)+100)/100</f>
        <v>1</v>
      </c>
      <c r="P90" s="958"/>
      <c r="Q90" s="53">
        <f t="shared" ref="Q90:Q153" si="30">(SUMIF($17:$17,P90,$18:$18)-SUMIF($17:$17,$P$24,$18:$18)+100)/100</f>
        <v>1</v>
      </c>
      <c r="R90" s="488">
        <f t="shared" ref="R90:R153" si="31">IF(B90="",0,ROUND($R$24*C90*E90*G90*I90*K90*M90*O90*Q90,0))</f>
        <v>0</v>
      </c>
      <c r="S90" s="795">
        <f t="shared" si="22"/>
        <v>0</v>
      </c>
    </row>
    <row r="91" spans="1:19">
      <c r="A91" s="960"/>
      <c r="B91" s="137"/>
      <c r="C91" s="53">
        <f t="shared" si="23"/>
        <v>1</v>
      </c>
      <c r="D91" s="958"/>
      <c r="E91" s="53">
        <f t="shared" si="24"/>
        <v>1</v>
      </c>
      <c r="F91" s="958"/>
      <c r="G91" s="53">
        <f t="shared" si="25"/>
        <v>1</v>
      </c>
      <c r="H91" s="958"/>
      <c r="I91" s="53">
        <f t="shared" si="26"/>
        <v>1</v>
      </c>
      <c r="J91" s="958"/>
      <c r="K91" s="53">
        <f t="shared" si="27"/>
        <v>1</v>
      </c>
      <c r="L91" s="958"/>
      <c r="M91" s="53">
        <f t="shared" si="28"/>
        <v>1</v>
      </c>
      <c r="N91" s="958"/>
      <c r="O91" s="53">
        <f t="shared" si="29"/>
        <v>1</v>
      </c>
      <c r="P91" s="958"/>
      <c r="Q91" s="53">
        <f t="shared" si="30"/>
        <v>1</v>
      </c>
      <c r="R91" s="488">
        <f t="shared" si="31"/>
        <v>0</v>
      </c>
      <c r="S91" s="795">
        <f t="shared" si="22"/>
        <v>0</v>
      </c>
    </row>
    <row r="92" spans="1:19">
      <c r="A92" s="960"/>
      <c r="B92" s="137"/>
      <c r="C92" s="53">
        <f t="shared" si="23"/>
        <v>1</v>
      </c>
      <c r="D92" s="958"/>
      <c r="E92" s="53">
        <f t="shared" si="24"/>
        <v>1</v>
      </c>
      <c r="F92" s="958"/>
      <c r="G92" s="53">
        <f t="shared" si="25"/>
        <v>1</v>
      </c>
      <c r="H92" s="958"/>
      <c r="I92" s="53">
        <f t="shared" si="26"/>
        <v>1</v>
      </c>
      <c r="J92" s="958"/>
      <c r="K92" s="53">
        <f t="shared" si="27"/>
        <v>1</v>
      </c>
      <c r="L92" s="958"/>
      <c r="M92" s="53">
        <f t="shared" si="28"/>
        <v>1</v>
      </c>
      <c r="N92" s="958"/>
      <c r="O92" s="53">
        <f t="shared" si="29"/>
        <v>1</v>
      </c>
      <c r="P92" s="958"/>
      <c r="Q92" s="53">
        <f t="shared" si="30"/>
        <v>1</v>
      </c>
      <c r="R92" s="488">
        <f t="shared" si="31"/>
        <v>0</v>
      </c>
      <c r="S92" s="795">
        <f t="shared" si="22"/>
        <v>0</v>
      </c>
    </row>
    <row r="93" spans="1:19">
      <c r="A93" s="960"/>
      <c r="B93" s="137"/>
      <c r="C93" s="53">
        <f t="shared" si="23"/>
        <v>1</v>
      </c>
      <c r="D93" s="958"/>
      <c r="E93" s="53">
        <f t="shared" si="24"/>
        <v>1</v>
      </c>
      <c r="F93" s="958"/>
      <c r="G93" s="53">
        <f t="shared" si="25"/>
        <v>1</v>
      </c>
      <c r="H93" s="958"/>
      <c r="I93" s="53">
        <f t="shared" si="26"/>
        <v>1</v>
      </c>
      <c r="J93" s="958"/>
      <c r="K93" s="53">
        <f t="shared" si="27"/>
        <v>1</v>
      </c>
      <c r="L93" s="958"/>
      <c r="M93" s="53">
        <f t="shared" si="28"/>
        <v>1</v>
      </c>
      <c r="N93" s="958"/>
      <c r="O93" s="53">
        <f t="shared" si="29"/>
        <v>1</v>
      </c>
      <c r="P93" s="958"/>
      <c r="Q93" s="53">
        <f t="shared" si="30"/>
        <v>1</v>
      </c>
      <c r="R93" s="488">
        <f t="shared" si="31"/>
        <v>0</v>
      </c>
      <c r="S93" s="795">
        <f t="shared" si="22"/>
        <v>0</v>
      </c>
    </row>
    <row r="94" spans="1:19">
      <c r="A94" s="960"/>
      <c r="B94" s="137"/>
      <c r="C94" s="53">
        <f t="shared" si="23"/>
        <v>1</v>
      </c>
      <c r="D94" s="958"/>
      <c r="E94" s="53">
        <f t="shared" si="24"/>
        <v>1</v>
      </c>
      <c r="F94" s="958"/>
      <c r="G94" s="53">
        <f t="shared" si="25"/>
        <v>1</v>
      </c>
      <c r="H94" s="958"/>
      <c r="I94" s="53">
        <f t="shared" si="26"/>
        <v>1</v>
      </c>
      <c r="J94" s="958"/>
      <c r="K94" s="53">
        <f t="shared" si="27"/>
        <v>1</v>
      </c>
      <c r="L94" s="958"/>
      <c r="M94" s="53">
        <f t="shared" si="28"/>
        <v>1</v>
      </c>
      <c r="N94" s="958"/>
      <c r="O94" s="53">
        <f t="shared" si="29"/>
        <v>1</v>
      </c>
      <c r="P94" s="958"/>
      <c r="Q94" s="53">
        <f t="shared" si="30"/>
        <v>1</v>
      </c>
      <c r="R94" s="488">
        <f t="shared" si="31"/>
        <v>0</v>
      </c>
      <c r="S94" s="795">
        <f t="shared" si="22"/>
        <v>0</v>
      </c>
    </row>
    <row r="95" spans="1:19">
      <c r="A95" s="960"/>
      <c r="B95" s="137"/>
      <c r="C95" s="53">
        <f t="shared" si="23"/>
        <v>1</v>
      </c>
      <c r="D95" s="958"/>
      <c r="E95" s="53">
        <f t="shared" si="24"/>
        <v>1</v>
      </c>
      <c r="F95" s="958"/>
      <c r="G95" s="53">
        <f t="shared" si="25"/>
        <v>1</v>
      </c>
      <c r="H95" s="958"/>
      <c r="I95" s="53">
        <f t="shared" si="26"/>
        <v>1</v>
      </c>
      <c r="J95" s="958"/>
      <c r="K95" s="53">
        <f t="shared" si="27"/>
        <v>1</v>
      </c>
      <c r="L95" s="958"/>
      <c r="M95" s="53">
        <f t="shared" si="28"/>
        <v>1</v>
      </c>
      <c r="N95" s="958"/>
      <c r="O95" s="53">
        <f t="shared" si="29"/>
        <v>1</v>
      </c>
      <c r="P95" s="958"/>
      <c r="Q95" s="53">
        <f t="shared" si="30"/>
        <v>1</v>
      </c>
      <c r="R95" s="488">
        <f t="shared" si="31"/>
        <v>0</v>
      </c>
      <c r="S95" s="795">
        <f t="shared" si="22"/>
        <v>0</v>
      </c>
    </row>
    <row r="96" spans="1:19">
      <c r="A96" s="960"/>
      <c r="B96" s="137"/>
      <c r="C96" s="53">
        <f t="shared" si="23"/>
        <v>1</v>
      </c>
      <c r="D96" s="958"/>
      <c r="E96" s="53">
        <f t="shared" si="24"/>
        <v>1</v>
      </c>
      <c r="F96" s="958"/>
      <c r="G96" s="53">
        <f t="shared" si="25"/>
        <v>1</v>
      </c>
      <c r="H96" s="958"/>
      <c r="I96" s="53">
        <f t="shared" si="26"/>
        <v>1</v>
      </c>
      <c r="J96" s="958"/>
      <c r="K96" s="53">
        <f t="shared" si="27"/>
        <v>1</v>
      </c>
      <c r="L96" s="958"/>
      <c r="M96" s="53">
        <f t="shared" si="28"/>
        <v>1</v>
      </c>
      <c r="N96" s="958"/>
      <c r="O96" s="53">
        <f t="shared" si="29"/>
        <v>1</v>
      </c>
      <c r="P96" s="958"/>
      <c r="Q96" s="53">
        <f t="shared" si="30"/>
        <v>1</v>
      </c>
      <c r="R96" s="488">
        <f t="shared" si="31"/>
        <v>0</v>
      </c>
      <c r="S96" s="795">
        <f t="shared" si="22"/>
        <v>0</v>
      </c>
    </row>
    <row r="97" spans="1:19">
      <c r="A97" s="960"/>
      <c r="B97" s="137"/>
      <c r="C97" s="53">
        <f t="shared" si="23"/>
        <v>1</v>
      </c>
      <c r="D97" s="958"/>
      <c r="E97" s="53">
        <f t="shared" si="24"/>
        <v>1</v>
      </c>
      <c r="F97" s="958"/>
      <c r="G97" s="53">
        <f t="shared" si="25"/>
        <v>1</v>
      </c>
      <c r="H97" s="958"/>
      <c r="I97" s="53">
        <f t="shared" si="26"/>
        <v>1</v>
      </c>
      <c r="J97" s="958"/>
      <c r="K97" s="53">
        <f t="shared" si="27"/>
        <v>1</v>
      </c>
      <c r="L97" s="958"/>
      <c r="M97" s="53">
        <f t="shared" si="28"/>
        <v>1</v>
      </c>
      <c r="N97" s="958"/>
      <c r="O97" s="53">
        <f t="shared" si="29"/>
        <v>1</v>
      </c>
      <c r="P97" s="958"/>
      <c r="Q97" s="53">
        <f t="shared" si="30"/>
        <v>1</v>
      </c>
      <c r="R97" s="488">
        <f t="shared" si="31"/>
        <v>0</v>
      </c>
      <c r="S97" s="795">
        <f t="shared" si="22"/>
        <v>0</v>
      </c>
    </row>
    <row r="98" spans="1:19">
      <c r="A98" s="960"/>
      <c r="B98" s="137"/>
      <c r="C98" s="53">
        <f t="shared" si="23"/>
        <v>1</v>
      </c>
      <c r="D98" s="958"/>
      <c r="E98" s="53">
        <f t="shared" si="24"/>
        <v>1</v>
      </c>
      <c r="F98" s="958"/>
      <c r="G98" s="53">
        <f t="shared" si="25"/>
        <v>1</v>
      </c>
      <c r="H98" s="958"/>
      <c r="I98" s="53">
        <f t="shared" si="26"/>
        <v>1</v>
      </c>
      <c r="J98" s="958"/>
      <c r="K98" s="53">
        <f t="shared" si="27"/>
        <v>1</v>
      </c>
      <c r="L98" s="958"/>
      <c r="M98" s="53">
        <f t="shared" si="28"/>
        <v>1</v>
      </c>
      <c r="N98" s="958"/>
      <c r="O98" s="53">
        <f t="shared" si="29"/>
        <v>1</v>
      </c>
      <c r="P98" s="958"/>
      <c r="Q98" s="53">
        <f t="shared" si="30"/>
        <v>1</v>
      </c>
      <c r="R98" s="488">
        <f t="shared" si="31"/>
        <v>0</v>
      </c>
      <c r="S98" s="795">
        <f t="shared" si="22"/>
        <v>0</v>
      </c>
    </row>
    <row r="99" spans="1:19">
      <c r="A99" s="960"/>
      <c r="B99" s="137"/>
      <c r="C99" s="53">
        <f t="shared" si="23"/>
        <v>1</v>
      </c>
      <c r="D99" s="958"/>
      <c r="E99" s="53">
        <f t="shared" si="24"/>
        <v>1</v>
      </c>
      <c r="F99" s="958"/>
      <c r="G99" s="53">
        <f t="shared" si="25"/>
        <v>1</v>
      </c>
      <c r="H99" s="958"/>
      <c r="I99" s="53">
        <f t="shared" si="26"/>
        <v>1</v>
      </c>
      <c r="J99" s="958"/>
      <c r="K99" s="53">
        <f t="shared" si="27"/>
        <v>1</v>
      </c>
      <c r="L99" s="958"/>
      <c r="M99" s="53">
        <f t="shared" si="28"/>
        <v>1</v>
      </c>
      <c r="N99" s="958"/>
      <c r="O99" s="53">
        <f t="shared" si="29"/>
        <v>1</v>
      </c>
      <c r="P99" s="958"/>
      <c r="Q99" s="53">
        <f t="shared" si="30"/>
        <v>1</v>
      </c>
      <c r="R99" s="488">
        <f t="shared" si="31"/>
        <v>0</v>
      </c>
      <c r="S99" s="795">
        <f t="shared" si="22"/>
        <v>0</v>
      </c>
    </row>
    <row r="100" spans="1:19">
      <c r="A100" s="960"/>
      <c r="B100" s="137"/>
      <c r="C100" s="53">
        <f t="shared" si="23"/>
        <v>1</v>
      </c>
      <c r="D100" s="958"/>
      <c r="E100" s="53">
        <f t="shared" si="24"/>
        <v>1</v>
      </c>
      <c r="F100" s="958"/>
      <c r="G100" s="53">
        <f t="shared" si="25"/>
        <v>1</v>
      </c>
      <c r="H100" s="958"/>
      <c r="I100" s="53">
        <f t="shared" si="26"/>
        <v>1</v>
      </c>
      <c r="J100" s="958"/>
      <c r="K100" s="53">
        <f t="shared" si="27"/>
        <v>1</v>
      </c>
      <c r="L100" s="958"/>
      <c r="M100" s="53">
        <f t="shared" si="28"/>
        <v>1</v>
      </c>
      <c r="N100" s="958"/>
      <c r="O100" s="53">
        <f t="shared" si="29"/>
        <v>1</v>
      </c>
      <c r="P100" s="958"/>
      <c r="Q100" s="53">
        <f t="shared" si="30"/>
        <v>1</v>
      </c>
      <c r="R100" s="488">
        <f t="shared" si="31"/>
        <v>0</v>
      </c>
      <c r="S100" s="795">
        <f t="shared" si="22"/>
        <v>0</v>
      </c>
    </row>
    <row r="101" spans="1:19">
      <c r="A101" s="960"/>
      <c r="B101" s="137"/>
      <c r="C101" s="53">
        <f t="shared" si="23"/>
        <v>1</v>
      </c>
      <c r="D101" s="958"/>
      <c r="E101" s="53">
        <f t="shared" si="24"/>
        <v>1</v>
      </c>
      <c r="F101" s="958"/>
      <c r="G101" s="53">
        <f t="shared" si="25"/>
        <v>1</v>
      </c>
      <c r="H101" s="958"/>
      <c r="I101" s="53">
        <f t="shared" si="26"/>
        <v>1</v>
      </c>
      <c r="J101" s="958"/>
      <c r="K101" s="53">
        <f t="shared" si="27"/>
        <v>1</v>
      </c>
      <c r="L101" s="958"/>
      <c r="M101" s="53">
        <f t="shared" si="28"/>
        <v>1</v>
      </c>
      <c r="N101" s="958"/>
      <c r="O101" s="53">
        <f t="shared" si="29"/>
        <v>1</v>
      </c>
      <c r="P101" s="958"/>
      <c r="Q101" s="53">
        <f t="shared" si="30"/>
        <v>1</v>
      </c>
      <c r="R101" s="488">
        <f t="shared" si="31"/>
        <v>0</v>
      </c>
      <c r="S101" s="795">
        <f t="shared" si="22"/>
        <v>0</v>
      </c>
    </row>
    <row r="102" spans="1:19">
      <c r="A102" s="960"/>
      <c r="B102" s="137"/>
      <c r="C102" s="53">
        <f t="shared" si="23"/>
        <v>1</v>
      </c>
      <c r="D102" s="958"/>
      <c r="E102" s="53">
        <f t="shared" si="24"/>
        <v>1</v>
      </c>
      <c r="F102" s="958"/>
      <c r="G102" s="53">
        <f t="shared" si="25"/>
        <v>1</v>
      </c>
      <c r="H102" s="958"/>
      <c r="I102" s="53">
        <f t="shared" si="26"/>
        <v>1</v>
      </c>
      <c r="J102" s="958"/>
      <c r="K102" s="53">
        <f t="shared" si="27"/>
        <v>1</v>
      </c>
      <c r="L102" s="958"/>
      <c r="M102" s="53">
        <f t="shared" si="28"/>
        <v>1</v>
      </c>
      <c r="N102" s="958"/>
      <c r="O102" s="53">
        <f t="shared" si="29"/>
        <v>1</v>
      </c>
      <c r="P102" s="958"/>
      <c r="Q102" s="53">
        <f t="shared" si="30"/>
        <v>1</v>
      </c>
      <c r="R102" s="488">
        <f t="shared" si="31"/>
        <v>0</v>
      </c>
      <c r="S102" s="795">
        <f t="shared" si="22"/>
        <v>0</v>
      </c>
    </row>
    <row r="103" spans="1:19">
      <c r="A103" s="960"/>
      <c r="B103" s="137"/>
      <c r="C103" s="53">
        <f t="shared" si="23"/>
        <v>1</v>
      </c>
      <c r="D103" s="958"/>
      <c r="E103" s="53">
        <f t="shared" si="24"/>
        <v>1</v>
      </c>
      <c r="F103" s="958"/>
      <c r="G103" s="53">
        <f t="shared" si="25"/>
        <v>1</v>
      </c>
      <c r="H103" s="958"/>
      <c r="I103" s="53">
        <f t="shared" si="26"/>
        <v>1</v>
      </c>
      <c r="J103" s="958"/>
      <c r="K103" s="53">
        <f t="shared" si="27"/>
        <v>1</v>
      </c>
      <c r="L103" s="958"/>
      <c r="M103" s="53">
        <f t="shared" si="28"/>
        <v>1</v>
      </c>
      <c r="N103" s="958"/>
      <c r="O103" s="53">
        <f t="shared" si="29"/>
        <v>1</v>
      </c>
      <c r="P103" s="958"/>
      <c r="Q103" s="53">
        <f t="shared" si="30"/>
        <v>1</v>
      </c>
      <c r="R103" s="488">
        <f t="shared" si="31"/>
        <v>0</v>
      </c>
      <c r="S103" s="795">
        <f t="shared" si="22"/>
        <v>0</v>
      </c>
    </row>
    <row r="104" spans="1:19">
      <c r="A104" s="960"/>
      <c r="B104" s="137"/>
      <c r="C104" s="53">
        <f t="shared" si="23"/>
        <v>1</v>
      </c>
      <c r="D104" s="958"/>
      <c r="E104" s="53">
        <f t="shared" si="24"/>
        <v>1</v>
      </c>
      <c r="F104" s="958"/>
      <c r="G104" s="53">
        <f t="shared" si="25"/>
        <v>1</v>
      </c>
      <c r="H104" s="958"/>
      <c r="I104" s="53">
        <f t="shared" si="26"/>
        <v>1</v>
      </c>
      <c r="J104" s="958"/>
      <c r="K104" s="53">
        <f t="shared" si="27"/>
        <v>1</v>
      </c>
      <c r="L104" s="958"/>
      <c r="M104" s="53">
        <f t="shared" si="28"/>
        <v>1</v>
      </c>
      <c r="N104" s="958"/>
      <c r="O104" s="53">
        <f t="shared" si="29"/>
        <v>1</v>
      </c>
      <c r="P104" s="958"/>
      <c r="Q104" s="53">
        <f t="shared" si="30"/>
        <v>1</v>
      </c>
      <c r="R104" s="488">
        <f t="shared" si="31"/>
        <v>0</v>
      </c>
      <c r="S104" s="795">
        <f t="shared" si="22"/>
        <v>0</v>
      </c>
    </row>
    <row r="105" spans="1:19">
      <c r="A105" s="960"/>
      <c r="B105" s="137"/>
      <c r="C105" s="53">
        <f t="shared" si="23"/>
        <v>1</v>
      </c>
      <c r="D105" s="958"/>
      <c r="E105" s="53">
        <f t="shared" si="24"/>
        <v>1</v>
      </c>
      <c r="F105" s="958"/>
      <c r="G105" s="53">
        <f t="shared" si="25"/>
        <v>1</v>
      </c>
      <c r="H105" s="958"/>
      <c r="I105" s="53">
        <f t="shared" si="26"/>
        <v>1</v>
      </c>
      <c r="J105" s="958"/>
      <c r="K105" s="53">
        <f t="shared" si="27"/>
        <v>1</v>
      </c>
      <c r="L105" s="958"/>
      <c r="M105" s="53">
        <f t="shared" si="28"/>
        <v>1</v>
      </c>
      <c r="N105" s="958"/>
      <c r="O105" s="53">
        <f t="shared" si="29"/>
        <v>1</v>
      </c>
      <c r="P105" s="958"/>
      <c r="Q105" s="53">
        <f t="shared" si="30"/>
        <v>1</v>
      </c>
      <c r="R105" s="488">
        <f t="shared" si="31"/>
        <v>0</v>
      </c>
      <c r="S105" s="795">
        <f t="shared" si="22"/>
        <v>0</v>
      </c>
    </row>
    <row r="106" spans="1:19">
      <c r="A106" s="960"/>
      <c r="B106" s="137"/>
      <c r="C106" s="53">
        <f t="shared" si="23"/>
        <v>1</v>
      </c>
      <c r="D106" s="958"/>
      <c r="E106" s="53">
        <f t="shared" si="24"/>
        <v>1</v>
      </c>
      <c r="F106" s="958"/>
      <c r="G106" s="53">
        <f t="shared" si="25"/>
        <v>1</v>
      </c>
      <c r="H106" s="958"/>
      <c r="I106" s="53">
        <f t="shared" si="26"/>
        <v>1</v>
      </c>
      <c r="J106" s="958"/>
      <c r="K106" s="53">
        <f t="shared" si="27"/>
        <v>1</v>
      </c>
      <c r="L106" s="958"/>
      <c r="M106" s="53">
        <f t="shared" si="28"/>
        <v>1</v>
      </c>
      <c r="N106" s="958"/>
      <c r="O106" s="53">
        <f t="shared" si="29"/>
        <v>1</v>
      </c>
      <c r="P106" s="958"/>
      <c r="Q106" s="53">
        <f t="shared" si="30"/>
        <v>1</v>
      </c>
      <c r="R106" s="488">
        <f t="shared" si="31"/>
        <v>0</v>
      </c>
      <c r="S106" s="795">
        <f t="shared" si="22"/>
        <v>0</v>
      </c>
    </row>
    <row r="107" spans="1:19">
      <c r="A107" s="960"/>
      <c r="B107" s="137"/>
      <c r="C107" s="53">
        <f t="shared" si="23"/>
        <v>1</v>
      </c>
      <c r="D107" s="958"/>
      <c r="E107" s="53">
        <f t="shared" si="24"/>
        <v>1</v>
      </c>
      <c r="F107" s="958"/>
      <c r="G107" s="53">
        <f t="shared" si="25"/>
        <v>1</v>
      </c>
      <c r="H107" s="958"/>
      <c r="I107" s="53">
        <f t="shared" si="26"/>
        <v>1</v>
      </c>
      <c r="J107" s="958"/>
      <c r="K107" s="53">
        <f t="shared" si="27"/>
        <v>1</v>
      </c>
      <c r="L107" s="958"/>
      <c r="M107" s="53">
        <f t="shared" si="28"/>
        <v>1</v>
      </c>
      <c r="N107" s="958"/>
      <c r="O107" s="53">
        <f t="shared" si="29"/>
        <v>1</v>
      </c>
      <c r="P107" s="958"/>
      <c r="Q107" s="53">
        <f t="shared" si="30"/>
        <v>1</v>
      </c>
      <c r="R107" s="488">
        <f t="shared" si="31"/>
        <v>0</v>
      </c>
      <c r="S107" s="795">
        <f t="shared" si="22"/>
        <v>0</v>
      </c>
    </row>
    <row r="108" spans="1:19">
      <c r="A108" s="960"/>
      <c r="B108" s="137"/>
      <c r="C108" s="53">
        <f t="shared" si="23"/>
        <v>1</v>
      </c>
      <c r="D108" s="958"/>
      <c r="E108" s="53">
        <f t="shared" si="24"/>
        <v>1</v>
      </c>
      <c r="F108" s="958"/>
      <c r="G108" s="53">
        <f t="shared" si="25"/>
        <v>1</v>
      </c>
      <c r="H108" s="958"/>
      <c r="I108" s="53">
        <f t="shared" si="26"/>
        <v>1</v>
      </c>
      <c r="J108" s="958"/>
      <c r="K108" s="53">
        <f t="shared" si="27"/>
        <v>1</v>
      </c>
      <c r="L108" s="958"/>
      <c r="M108" s="53">
        <f t="shared" si="28"/>
        <v>1</v>
      </c>
      <c r="N108" s="958"/>
      <c r="O108" s="53">
        <f t="shared" si="29"/>
        <v>1</v>
      </c>
      <c r="P108" s="958"/>
      <c r="Q108" s="53">
        <f t="shared" si="30"/>
        <v>1</v>
      </c>
      <c r="R108" s="488">
        <f t="shared" si="31"/>
        <v>0</v>
      </c>
      <c r="S108" s="795">
        <f t="shared" si="22"/>
        <v>0</v>
      </c>
    </row>
    <row r="109" spans="1:19">
      <c r="A109" s="960"/>
      <c r="B109" s="137"/>
      <c r="C109" s="53">
        <f t="shared" si="23"/>
        <v>1</v>
      </c>
      <c r="D109" s="958"/>
      <c r="E109" s="53">
        <f t="shared" si="24"/>
        <v>1</v>
      </c>
      <c r="F109" s="958"/>
      <c r="G109" s="53">
        <f t="shared" si="25"/>
        <v>1</v>
      </c>
      <c r="H109" s="958"/>
      <c r="I109" s="53">
        <f t="shared" si="26"/>
        <v>1</v>
      </c>
      <c r="J109" s="958"/>
      <c r="K109" s="53">
        <f t="shared" si="27"/>
        <v>1</v>
      </c>
      <c r="L109" s="958"/>
      <c r="M109" s="53">
        <f t="shared" si="28"/>
        <v>1</v>
      </c>
      <c r="N109" s="958"/>
      <c r="O109" s="53">
        <f t="shared" si="29"/>
        <v>1</v>
      </c>
      <c r="P109" s="958"/>
      <c r="Q109" s="53">
        <f t="shared" si="30"/>
        <v>1</v>
      </c>
      <c r="R109" s="488">
        <f t="shared" si="31"/>
        <v>0</v>
      </c>
      <c r="S109" s="795">
        <f t="shared" si="22"/>
        <v>0</v>
      </c>
    </row>
    <row r="110" spans="1:19">
      <c r="A110" s="960"/>
      <c r="B110" s="137"/>
      <c r="C110" s="53">
        <f t="shared" si="23"/>
        <v>1</v>
      </c>
      <c r="D110" s="958"/>
      <c r="E110" s="53">
        <f t="shared" si="24"/>
        <v>1</v>
      </c>
      <c r="F110" s="958"/>
      <c r="G110" s="53">
        <f t="shared" si="25"/>
        <v>1</v>
      </c>
      <c r="H110" s="958"/>
      <c r="I110" s="53">
        <f t="shared" si="26"/>
        <v>1</v>
      </c>
      <c r="J110" s="958"/>
      <c r="K110" s="53">
        <f t="shared" si="27"/>
        <v>1</v>
      </c>
      <c r="L110" s="958"/>
      <c r="M110" s="53">
        <f t="shared" si="28"/>
        <v>1</v>
      </c>
      <c r="N110" s="958"/>
      <c r="O110" s="53">
        <f t="shared" si="29"/>
        <v>1</v>
      </c>
      <c r="P110" s="958"/>
      <c r="Q110" s="53">
        <f t="shared" si="30"/>
        <v>1</v>
      </c>
      <c r="R110" s="488">
        <f t="shared" si="31"/>
        <v>0</v>
      </c>
      <c r="S110" s="795">
        <f t="shared" si="22"/>
        <v>0</v>
      </c>
    </row>
    <row r="111" spans="1:19">
      <c r="A111" s="960"/>
      <c r="B111" s="137"/>
      <c r="C111" s="53">
        <f t="shared" si="23"/>
        <v>1</v>
      </c>
      <c r="D111" s="958"/>
      <c r="E111" s="53">
        <f t="shared" si="24"/>
        <v>1</v>
      </c>
      <c r="F111" s="958"/>
      <c r="G111" s="53">
        <f t="shared" si="25"/>
        <v>1</v>
      </c>
      <c r="H111" s="958"/>
      <c r="I111" s="53">
        <f t="shared" si="26"/>
        <v>1</v>
      </c>
      <c r="J111" s="958"/>
      <c r="K111" s="53">
        <f t="shared" si="27"/>
        <v>1</v>
      </c>
      <c r="L111" s="958"/>
      <c r="M111" s="53">
        <f t="shared" si="28"/>
        <v>1</v>
      </c>
      <c r="N111" s="958"/>
      <c r="O111" s="53">
        <f t="shared" si="29"/>
        <v>1</v>
      </c>
      <c r="P111" s="958"/>
      <c r="Q111" s="53">
        <f t="shared" si="30"/>
        <v>1</v>
      </c>
      <c r="R111" s="488">
        <f t="shared" si="31"/>
        <v>0</v>
      </c>
      <c r="S111" s="795">
        <f t="shared" si="22"/>
        <v>0</v>
      </c>
    </row>
    <row r="112" spans="1:19">
      <c r="A112" s="960"/>
      <c r="B112" s="137"/>
      <c r="C112" s="53">
        <f t="shared" si="23"/>
        <v>1</v>
      </c>
      <c r="D112" s="958"/>
      <c r="E112" s="53">
        <f t="shared" si="24"/>
        <v>1</v>
      </c>
      <c r="F112" s="958"/>
      <c r="G112" s="53">
        <f t="shared" si="25"/>
        <v>1</v>
      </c>
      <c r="H112" s="958"/>
      <c r="I112" s="53">
        <f t="shared" si="26"/>
        <v>1</v>
      </c>
      <c r="J112" s="958"/>
      <c r="K112" s="53">
        <f t="shared" si="27"/>
        <v>1</v>
      </c>
      <c r="L112" s="958"/>
      <c r="M112" s="53">
        <f t="shared" si="28"/>
        <v>1</v>
      </c>
      <c r="N112" s="958"/>
      <c r="O112" s="53">
        <f t="shared" si="29"/>
        <v>1</v>
      </c>
      <c r="P112" s="958"/>
      <c r="Q112" s="53">
        <f t="shared" si="30"/>
        <v>1</v>
      </c>
      <c r="R112" s="488">
        <f t="shared" si="31"/>
        <v>0</v>
      </c>
      <c r="S112" s="795">
        <f t="shared" si="22"/>
        <v>0</v>
      </c>
    </row>
    <row r="113" spans="1:19">
      <c r="A113" s="960"/>
      <c r="B113" s="137"/>
      <c r="C113" s="53">
        <f t="shared" si="23"/>
        <v>1</v>
      </c>
      <c r="D113" s="958"/>
      <c r="E113" s="53">
        <f t="shared" si="24"/>
        <v>1</v>
      </c>
      <c r="F113" s="958"/>
      <c r="G113" s="53">
        <f t="shared" si="25"/>
        <v>1</v>
      </c>
      <c r="H113" s="958"/>
      <c r="I113" s="53">
        <f t="shared" si="26"/>
        <v>1</v>
      </c>
      <c r="J113" s="958"/>
      <c r="K113" s="53">
        <f t="shared" si="27"/>
        <v>1</v>
      </c>
      <c r="L113" s="958"/>
      <c r="M113" s="53">
        <f t="shared" si="28"/>
        <v>1</v>
      </c>
      <c r="N113" s="958"/>
      <c r="O113" s="53">
        <f t="shared" si="29"/>
        <v>1</v>
      </c>
      <c r="P113" s="958"/>
      <c r="Q113" s="53">
        <f t="shared" si="30"/>
        <v>1</v>
      </c>
      <c r="R113" s="488">
        <f t="shared" si="31"/>
        <v>0</v>
      </c>
      <c r="S113" s="795">
        <f t="shared" si="22"/>
        <v>0</v>
      </c>
    </row>
    <row r="114" spans="1:19">
      <c r="A114" s="960"/>
      <c r="B114" s="137"/>
      <c r="C114" s="53">
        <f t="shared" si="23"/>
        <v>1</v>
      </c>
      <c r="D114" s="958"/>
      <c r="E114" s="53">
        <f t="shared" si="24"/>
        <v>1</v>
      </c>
      <c r="F114" s="958"/>
      <c r="G114" s="53">
        <f t="shared" si="25"/>
        <v>1</v>
      </c>
      <c r="H114" s="958"/>
      <c r="I114" s="53">
        <f t="shared" si="26"/>
        <v>1</v>
      </c>
      <c r="J114" s="958"/>
      <c r="K114" s="53">
        <f t="shared" si="27"/>
        <v>1</v>
      </c>
      <c r="L114" s="958"/>
      <c r="M114" s="53">
        <f t="shared" si="28"/>
        <v>1</v>
      </c>
      <c r="N114" s="958"/>
      <c r="O114" s="53">
        <f t="shared" si="29"/>
        <v>1</v>
      </c>
      <c r="P114" s="958"/>
      <c r="Q114" s="53">
        <f t="shared" si="30"/>
        <v>1</v>
      </c>
      <c r="R114" s="488">
        <f t="shared" si="31"/>
        <v>0</v>
      </c>
      <c r="S114" s="795">
        <f t="shared" si="22"/>
        <v>0</v>
      </c>
    </row>
    <row r="115" spans="1:19">
      <c r="A115" s="960"/>
      <c r="B115" s="137"/>
      <c r="C115" s="53">
        <f t="shared" si="23"/>
        <v>1</v>
      </c>
      <c r="D115" s="958"/>
      <c r="E115" s="53">
        <f t="shared" si="24"/>
        <v>1</v>
      </c>
      <c r="F115" s="958"/>
      <c r="G115" s="53">
        <f t="shared" si="25"/>
        <v>1</v>
      </c>
      <c r="H115" s="958"/>
      <c r="I115" s="53">
        <f t="shared" si="26"/>
        <v>1</v>
      </c>
      <c r="J115" s="958"/>
      <c r="K115" s="53">
        <f t="shared" si="27"/>
        <v>1</v>
      </c>
      <c r="L115" s="958"/>
      <c r="M115" s="53">
        <f t="shared" si="28"/>
        <v>1</v>
      </c>
      <c r="N115" s="958"/>
      <c r="O115" s="53">
        <f t="shared" si="29"/>
        <v>1</v>
      </c>
      <c r="P115" s="958"/>
      <c r="Q115" s="53">
        <f t="shared" si="30"/>
        <v>1</v>
      </c>
      <c r="R115" s="488">
        <f t="shared" si="31"/>
        <v>0</v>
      </c>
      <c r="S115" s="795">
        <f t="shared" si="22"/>
        <v>0</v>
      </c>
    </row>
    <row r="116" spans="1:19">
      <c r="A116" s="960"/>
      <c r="B116" s="137"/>
      <c r="C116" s="53">
        <f t="shared" si="23"/>
        <v>1</v>
      </c>
      <c r="D116" s="958"/>
      <c r="E116" s="53">
        <f t="shared" si="24"/>
        <v>1</v>
      </c>
      <c r="F116" s="958"/>
      <c r="G116" s="53">
        <f t="shared" si="25"/>
        <v>1</v>
      </c>
      <c r="H116" s="958"/>
      <c r="I116" s="53">
        <f t="shared" si="26"/>
        <v>1</v>
      </c>
      <c r="J116" s="958"/>
      <c r="K116" s="53">
        <f t="shared" si="27"/>
        <v>1</v>
      </c>
      <c r="L116" s="958"/>
      <c r="M116" s="53">
        <f t="shared" si="28"/>
        <v>1</v>
      </c>
      <c r="N116" s="958"/>
      <c r="O116" s="53">
        <f t="shared" si="29"/>
        <v>1</v>
      </c>
      <c r="P116" s="958"/>
      <c r="Q116" s="53">
        <f t="shared" si="30"/>
        <v>1</v>
      </c>
      <c r="R116" s="488">
        <f t="shared" si="31"/>
        <v>0</v>
      </c>
      <c r="S116" s="795">
        <f t="shared" si="22"/>
        <v>0</v>
      </c>
    </row>
    <row r="117" spans="1:19">
      <c r="A117" s="960"/>
      <c r="B117" s="137"/>
      <c r="C117" s="53">
        <f t="shared" si="23"/>
        <v>1</v>
      </c>
      <c r="D117" s="958"/>
      <c r="E117" s="53">
        <f t="shared" si="24"/>
        <v>1</v>
      </c>
      <c r="F117" s="958"/>
      <c r="G117" s="53">
        <f t="shared" si="25"/>
        <v>1</v>
      </c>
      <c r="H117" s="958"/>
      <c r="I117" s="53">
        <f t="shared" si="26"/>
        <v>1</v>
      </c>
      <c r="J117" s="958"/>
      <c r="K117" s="53">
        <f t="shared" si="27"/>
        <v>1</v>
      </c>
      <c r="L117" s="958"/>
      <c r="M117" s="53">
        <f t="shared" si="28"/>
        <v>1</v>
      </c>
      <c r="N117" s="958"/>
      <c r="O117" s="53">
        <f t="shared" si="29"/>
        <v>1</v>
      </c>
      <c r="P117" s="958"/>
      <c r="Q117" s="53">
        <f t="shared" si="30"/>
        <v>1</v>
      </c>
      <c r="R117" s="488">
        <f t="shared" si="31"/>
        <v>0</v>
      </c>
      <c r="S117" s="795">
        <f t="shared" si="22"/>
        <v>0</v>
      </c>
    </row>
    <row r="118" spans="1:19">
      <c r="A118" s="960"/>
      <c r="B118" s="137"/>
      <c r="C118" s="53">
        <f t="shared" si="23"/>
        <v>1</v>
      </c>
      <c r="D118" s="958"/>
      <c r="E118" s="53">
        <f t="shared" si="24"/>
        <v>1</v>
      </c>
      <c r="F118" s="958"/>
      <c r="G118" s="53">
        <f t="shared" si="25"/>
        <v>1</v>
      </c>
      <c r="H118" s="958"/>
      <c r="I118" s="53">
        <f t="shared" si="26"/>
        <v>1</v>
      </c>
      <c r="J118" s="958"/>
      <c r="K118" s="53">
        <f t="shared" si="27"/>
        <v>1</v>
      </c>
      <c r="L118" s="958"/>
      <c r="M118" s="53">
        <f t="shared" si="28"/>
        <v>1</v>
      </c>
      <c r="N118" s="958"/>
      <c r="O118" s="53">
        <f t="shared" si="29"/>
        <v>1</v>
      </c>
      <c r="P118" s="958"/>
      <c r="Q118" s="53">
        <f t="shared" si="30"/>
        <v>1</v>
      </c>
      <c r="R118" s="488">
        <f t="shared" si="31"/>
        <v>0</v>
      </c>
      <c r="S118" s="795">
        <f t="shared" si="22"/>
        <v>0</v>
      </c>
    </row>
    <row r="119" spans="1:19">
      <c r="A119" s="960"/>
      <c r="B119" s="137"/>
      <c r="C119" s="53">
        <f t="shared" si="23"/>
        <v>1</v>
      </c>
      <c r="D119" s="958"/>
      <c r="E119" s="53">
        <f t="shared" si="24"/>
        <v>1</v>
      </c>
      <c r="F119" s="958"/>
      <c r="G119" s="53">
        <f t="shared" si="25"/>
        <v>1</v>
      </c>
      <c r="H119" s="958"/>
      <c r="I119" s="53">
        <f t="shared" si="26"/>
        <v>1</v>
      </c>
      <c r="J119" s="958"/>
      <c r="K119" s="53">
        <f t="shared" si="27"/>
        <v>1</v>
      </c>
      <c r="L119" s="958"/>
      <c r="M119" s="53">
        <f t="shared" si="28"/>
        <v>1</v>
      </c>
      <c r="N119" s="958"/>
      <c r="O119" s="53">
        <f t="shared" si="29"/>
        <v>1</v>
      </c>
      <c r="P119" s="958"/>
      <c r="Q119" s="53">
        <f t="shared" si="30"/>
        <v>1</v>
      </c>
      <c r="R119" s="488">
        <f t="shared" si="31"/>
        <v>0</v>
      </c>
      <c r="S119" s="795">
        <f t="shared" si="22"/>
        <v>0</v>
      </c>
    </row>
    <row r="120" spans="1:19">
      <c r="A120" s="960"/>
      <c r="B120" s="137"/>
      <c r="C120" s="53">
        <f t="shared" si="23"/>
        <v>1</v>
      </c>
      <c r="D120" s="958"/>
      <c r="E120" s="53">
        <f t="shared" si="24"/>
        <v>1</v>
      </c>
      <c r="F120" s="958"/>
      <c r="G120" s="53">
        <f t="shared" si="25"/>
        <v>1</v>
      </c>
      <c r="H120" s="958"/>
      <c r="I120" s="53">
        <f t="shared" si="26"/>
        <v>1</v>
      </c>
      <c r="J120" s="958"/>
      <c r="K120" s="53">
        <f t="shared" si="27"/>
        <v>1</v>
      </c>
      <c r="L120" s="958"/>
      <c r="M120" s="53">
        <f t="shared" si="28"/>
        <v>1</v>
      </c>
      <c r="N120" s="958"/>
      <c r="O120" s="53">
        <f t="shared" si="29"/>
        <v>1</v>
      </c>
      <c r="P120" s="958"/>
      <c r="Q120" s="53">
        <f t="shared" si="30"/>
        <v>1</v>
      </c>
      <c r="R120" s="488">
        <f t="shared" si="31"/>
        <v>0</v>
      </c>
      <c r="S120" s="795">
        <f t="shared" si="22"/>
        <v>0</v>
      </c>
    </row>
    <row r="121" spans="1:19">
      <c r="A121" s="960"/>
      <c r="B121" s="137"/>
      <c r="C121" s="53">
        <f t="shared" si="23"/>
        <v>1</v>
      </c>
      <c r="D121" s="958"/>
      <c r="E121" s="53">
        <f t="shared" si="24"/>
        <v>1</v>
      </c>
      <c r="F121" s="958"/>
      <c r="G121" s="53">
        <f t="shared" si="25"/>
        <v>1</v>
      </c>
      <c r="H121" s="958"/>
      <c r="I121" s="53">
        <f t="shared" si="26"/>
        <v>1</v>
      </c>
      <c r="J121" s="958"/>
      <c r="K121" s="53">
        <f t="shared" si="27"/>
        <v>1</v>
      </c>
      <c r="L121" s="958"/>
      <c r="M121" s="53">
        <f t="shared" si="28"/>
        <v>1</v>
      </c>
      <c r="N121" s="958"/>
      <c r="O121" s="53">
        <f t="shared" si="29"/>
        <v>1</v>
      </c>
      <c r="P121" s="958"/>
      <c r="Q121" s="53">
        <f t="shared" si="30"/>
        <v>1</v>
      </c>
      <c r="R121" s="488">
        <f t="shared" si="31"/>
        <v>0</v>
      </c>
      <c r="S121" s="795">
        <f t="shared" si="22"/>
        <v>0</v>
      </c>
    </row>
    <row r="122" spans="1:19">
      <c r="A122" s="960"/>
      <c r="B122" s="137"/>
      <c r="C122" s="53">
        <f t="shared" si="23"/>
        <v>1</v>
      </c>
      <c r="D122" s="958"/>
      <c r="E122" s="53">
        <f t="shared" si="24"/>
        <v>1</v>
      </c>
      <c r="F122" s="958"/>
      <c r="G122" s="53">
        <f t="shared" si="25"/>
        <v>1</v>
      </c>
      <c r="H122" s="958"/>
      <c r="I122" s="53">
        <f t="shared" si="26"/>
        <v>1</v>
      </c>
      <c r="J122" s="958"/>
      <c r="K122" s="53">
        <f t="shared" si="27"/>
        <v>1</v>
      </c>
      <c r="L122" s="958"/>
      <c r="M122" s="53">
        <f t="shared" si="28"/>
        <v>1</v>
      </c>
      <c r="N122" s="958"/>
      <c r="O122" s="53">
        <f t="shared" si="29"/>
        <v>1</v>
      </c>
      <c r="P122" s="958"/>
      <c r="Q122" s="53">
        <f t="shared" si="30"/>
        <v>1</v>
      </c>
      <c r="R122" s="488">
        <f t="shared" si="31"/>
        <v>0</v>
      </c>
      <c r="S122" s="795">
        <f t="shared" si="22"/>
        <v>0</v>
      </c>
    </row>
    <row r="123" spans="1:19">
      <c r="A123" s="960"/>
      <c r="B123" s="137"/>
      <c r="C123" s="53">
        <f t="shared" si="23"/>
        <v>1</v>
      </c>
      <c r="D123" s="958"/>
      <c r="E123" s="53">
        <f t="shared" si="24"/>
        <v>1</v>
      </c>
      <c r="F123" s="958"/>
      <c r="G123" s="53">
        <f t="shared" si="25"/>
        <v>1</v>
      </c>
      <c r="H123" s="958"/>
      <c r="I123" s="53">
        <f t="shared" si="26"/>
        <v>1</v>
      </c>
      <c r="J123" s="958"/>
      <c r="K123" s="53">
        <f t="shared" si="27"/>
        <v>1</v>
      </c>
      <c r="L123" s="958"/>
      <c r="M123" s="53">
        <f t="shared" si="28"/>
        <v>1</v>
      </c>
      <c r="N123" s="958"/>
      <c r="O123" s="53">
        <f t="shared" si="29"/>
        <v>1</v>
      </c>
      <c r="P123" s="958"/>
      <c r="Q123" s="53">
        <f t="shared" si="30"/>
        <v>1</v>
      </c>
      <c r="R123" s="488">
        <f t="shared" si="31"/>
        <v>0</v>
      </c>
      <c r="S123" s="795">
        <f t="shared" ref="S123:S186" si="32">ROUND(R123*B123/10000,0)</f>
        <v>0</v>
      </c>
    </row>
    <row r="124" spans="1:19">
      <c r="A124" s="960"/>
      <c r="B124" s="137"/>
      <c r="C124" s="53">
        <f t="shared" si="23"/>
        <v>1</v>
      </c>
      <c r="D124" s="958"/>
      <c r="E124" s="53">
        <f t="shared" si="24"/>
        <v>1</v>
      </c>
      <c r="F124" s="958"/>
      <c r="G124" s="53">
        <f t="shared" si="25"/>
        <v>1</v>
      </c>
      <c r="H124" s="958"/>
      <c r="I124" s="53">
        <f t="shared" si="26"/>
        <v>1</v>
      </c>
      <c r="J124" s="958"/>
      <c r="K124" s="53">
        <f t="shared" si="27"/>
        <v>1</v>
      </c>
      <c r="L124" s="958"/>
      <c r="M124" s="53">
        <f t="shared" si="28"/>
        <v>1</v>
      </c>
      <c r="N124" s="958"/>
      <c r="O124" s="53">
        <f t="shared" si="29"/>
        <v>1</v>
      </c>
      <c r="P124" s="958"/>
      <c r="Q124" s="53">
        <f t="shared" si="30"/>
        <v>1</v>
      </c>
      <c r="R124" s="488">
        <f t="shared" si="31"/>
        <v>0</v>
      </c>
      <c r="S124" s="795">
        <f t="shared" si="32"/>
        <v>0</v>
      </c>
    </row>
    <row r="125" spans="1:19">
      <c r="A125" s="960"/>
      <c r="B125" s="137"/>
      <c r="C125" s="53">
        <f t="shared" si="23"/>
        <v>1</v>
      </c>
      <c r="D125" s="958"/>
      <c r="E125" s="53">
        <f t="shared" si="24"/>
        <v>1</v>
      </c>
      <c r="F125" s="958"/>
      <c r="G125" s="53">
        <f t="shared" si="25"/>
        <v>1</v>
      </c>
      <c r="H125" s="958"/>
      <c r="I125" s="53">
        <f t="shared" si="26"/>
        <v>1</v>
      </c>
      <c r="J125" s="958"/>
      <c r="K125" s="53">
        <f t="shared" si="27"/>
        <v>1</v>
      </c>
      <c r="L125" s="958"/>
      <c r="M125" s="53">
        <f t="shared" si="28"/>
        <v>1</v>
      </c>
      <c r="N125" s="958"/>
      <c r="O125" s="53">
        <f t="shared" si="29"/>
        <v>1</v>
      </c>
      <c r="P125" s="958"/>
      <c r="Q125" s="53">
        <f t="shared" si="30"/>
        <v>1</v>
      </c>
      <c r="R125" s="488">
        <f t="shared" si="31"/>
        <v>0</v>
      </c>
      <c r="S125" s="795">
        <f t="shared" si="32"/>
        <v>0</v>
      </c>
    </row>
    <row r="126" spans="1:19">
      <c r="A126" s="960"/>
      <c r="B126" s="137"/>
      <c r="C126" s="53">
        <f t="shared" si="23"/>
        <v>1</v>
      </c>
      <c r="D126" s="958"/>
      <c r="E126" s="53">
        <f t="shared" si="24"/>
        <v>1</v>
      </c>
      <c r="F126" s="958"/>
      <c r="G126" s="53">
        <f t="shared" si="25"/>
        <v>1</v>
      </c>
      <c r="H126" s="958"/>
      <c r="I126" s="53">
        <f t="shared" si="26"/>
        <v>1</v>
      </c>
      <c r="J126" s="958"/>
      <c r="K126" s="53">
        <f t="shared" si="27"/>
        <v>1</v>
      </c>
      <c r="L126" s="958"/>
      <c r="M126" s="53">
        <f t="shared" si="28"/>
        <v>1</v>
      </c>
      <c r="N126" s="958"/>
      <c r="O126" s="53">
        <f t="shared" si="29"/>
        <v>1</v>
      </c>
      <c r="P126" s="958"/>
      <c r="Q126" s="53">
        <f t="shared" si="30"/>
        <v>1</v>
      </c>
      <c r="R126" s="488">
        <f t="shared" si="31"/>
        <v>0</v>
      </c>
      <c r="S126" s="795">
        <f t="shared" si="32"/>
        <v>0</v>
      </c>
    </row>
    <row r="127" spans="1:19">
      <c r="A127" s="960"/>
      <c r="B127" s="137"/>
      <c r="C127" s="53">
        <f t="shared" si="23"/>
        <v>1</v>
      </c>
      <c r="D127" s="958"/>
      <c r="E127" s="53">
        <f t="shared" si="24"/>
        <v>1</v>
      </c>
      <c r="F127" s="958"/>
      <c r="G127" s="53">
        <f t="shared" si="25"/>
        <v>1</v>
      </c>
      <c r="H127" s="958"/>
      <c r="I127" s="53">
        <f t="shared" si="26"/>
        <v>1</v>
      </c>
      <c r="J127" s="958"/>
      <c r="K127" s="53">
        <f t="shared" si="27"/>
        <v>1</v>
      </c>
      <c r="L127" s="958"/>
      <c r="M127" s="53">
        <f t="shared" si="28"/>
        <v>1</v>
      </c>
      <c r="N127" s="958"/>
      <c r="O127" s="53">
        <f t="shared" si="29"/>
        <v>1</v>
      </c>
      <c r="P127" s="958"/>
      <c r="Q127" s="53">
        <f t="shared" si="30"/>
        <v>1</v>
      </c>
      <c r="R127" s="488">
        <f t="shared" si="31"/>
        <v>0</v>
      </c>
      <c r="S127" s="795">
        <f t="shared" si="32"/>
        <v>0</v>
      </c>
    </row>
    <row r="128" spans="1:19">
      <c r="A128" s="960"/>
      <c r="B128" s="137"/>
      <c r="C128" s="53">
        <f t="shared" si="23"/>
        <v>1</v>
      </c>
      <c r="D128" s="958"/>
      <c r="E128" s="53">
        <f t="shared" si="24"/>
        <v>1</v>
      </c>
      <c r="F128" s="958"/>
      <c r="G128" s="53">
        <f t="shared" si="25"/>
        <v>1</v>
      </c>
      <c r="H128" s="958"/>
      <c r="I128" s="53">
        <f t="shared" si="26"/>
        <v>1</v>
      </c>
      <c r="J128" s="958"/>
      <c r="K128" s="53">
        <f t="shared" si="27"/>
        <v>1</v>
      </c>
      <c r="L128" s="958"/>
      <c r="M128" s="53">
        <f t="shared" si="28"/>
        <v>1</v>
      </c>
      <c r="N128" s="958"/>
      <c r="O128" s="53">
        <f t="shared" si="29"/>
        <v>1</v>
      </c>
      <c r="P128" s="958"/>
      <c r="Q128" s="53">
        <f t="shared" si="30"/>
        <v>1</v>
      </c>
      <c r="R128" s="488">
        <f t="shared" si="31"/>
        <v>0</v>
      </c>
      <c r="S128" s="795">
        <f t="shared" si="32"/>
        <v>0</v>
      </c>
    </row>
    <row r="129" spans="1:19">
      <c r="A129" s="960"/>
      <c r="B129" s="137"/>
      <c r="C129" s="53">
        <f t="shared" si="23"/>
        <v>1</v>
      </c>
      <c r="D129" s="958"/>
      <c r="E129" s="53">
        <f t="shared" si="24"/>
        <v>1</v>
      </c>
      <c r="F129" s="958"/>
      <c r="G129" s="53">
        <f t="shared" si="25"/>
        <v>1</v>
      </c>
      <c r="H129" s="958"/>
      <c r="I129" s="53">
        <f t="shared" si="26"/>
        <v>1</v>
      </c>
      <c r="J129" s="958"/>
      <c r="K129" s="53">
        <f t="shared" si="27"/>
        <v>1</v>
      </c>
      <c r="L129" s="958"/>
      <c r="M129" s="53">
        <f t="shared" si="28"/>
        <v>1</v>
      </c>
      <c r="N129" s="958"/>
      <c r="O129" s="53">
        <f t="shared" si="29"/>
        <v>1</v>
      </c>
      <c r="P129" s="958"/>
      <c r="Q129" s="53">
        <f t="shared" si="30"/>
        <v>1</v>
      </c>
      <c r="R129" s="488">
        <f t="shared" si="31"/>
        <v>0</v>
      </c>
      <c r="S129" s="795">
        <f t="shared" si="32"/>
        <v>0</v>
      </c>
    </row>
    <row r="130" spans="1:19">
      <c r="A130" s="960"/>
      <c r="B130" s="137"/>
      <c r="C130" s="53">
        <f t="shared" si="23"/>
        <v>1</v>
      </c>
      <c r="D130" s="958"/>
      <c r="E130" s="53">
        <f t="shared" si="24"/>
        <v>1</v>
      </c>
      <c r="F130" s="958"/>
      <c r="G130" s="53">
        <f t="shared" si="25"/>
        <v>1</v>
      </c>
      <c r="H130" s="958"/>
      <c r="I130" s="53">
        <f t="shared" si="26"/>
        <v>1</v>
      </c>
      <c r="J130" s="958"/>
      <c r="K130" s="53">
        <f t="shared" si="27"/>
        <v>1</v>
      </c>
      <c r="L130" s="958"/>
      <c r="M130" s="53">
        <f t="shared" si="28"/>
        <v>1</v>
      </c>
      <c r="N130" s="958"/>
      <c r="O130" s="53">
        <f t="shared" si="29"/>
        <v>1</v>
      </c>
      <c r="P130" s="958"/>
      <c r="Q130" s="53">
        <f t="shared" si="30"/>
        <v>1</v>
      </c>
      <c r="R130" s="488">
        <f t="shared" si="31"/>
        <v>0</v>
      </c>
      <c r="S130" s="795">
        <f t="shared" si="32"/>
        <v>0</v>
      </c>
    </row>
    <row r="131" spans="1:19">
      <c r="A131" s="960"/>
      <c r="B131" s="137"/>
      <c r="C131" s="53">
        <f t="shared" si="23"/>
        <v>1</v>
      </c>
      <c r="D131" s="958"/>
      <c r="E131" s="53">
        <f t="shared" si="24"/>
        <v>1</v>
      </c>
      <c r="F131" s="958"/>
      <c r="G131" s="53">
        <f t="shared" si="25"/>
        <v>1</v>
      </c>
      <c r="H131" s="958"/>
      <c r="I131" s="53">
        <f t="shared" si="26"/>
        <v>1</v>
      </c>
      <c r="J131" s="958"/>
      <c r="K131" s="53">
        <f t="shared" si="27"/>
        <v>1</v>
      </c>
      <c r="L131" s="958"/>
      <c r="M131" s="53">
        <f t="shared" si="28"/>
        <v>1</v>
      </c>
      <c r="N131" s="958"/>
      <c r="O131" s="53">
        <f t="shared" si="29"/>
        <v>1</v>
      </c>
      <c r="P131" s="958"/>
      <c r="Q131" s="53">
        <f t="shared" si="30"/>
        <v>1</v>
      </c>
      <c r="R131" s="488">
        <f t="shared" si="31"/>
        <v>0</v>
      </c>
      <c r="S131" s="795">
        <f t="shared" si="32"/>
        <v>0</v>
      </c>
    </row>
    <row r="132" spans="1:19">
      <c r="A132" s="960"/>
      <c r="B132" s="137"/>
      <c r="C132" s="53">
        <f t="shared" si="23"/>
        <v>1</v>
      </c>
      <c r="D132" s="958"/>
      <c r="E132" s="53">
        <f t="shared" si="24"/>
        <v>1</v>
      </c>
      <c r="F132" s="958"/>
      <c r="G132" s="53">
        <f t="shared" si="25"/>
        <v>1</v>
      </c>
      <c r="H132" s="958"/>
      <c r="I132" s="53">
        <f t="shared" si="26"/>
        <v>1</v>
      </c>
      <c r="J132" s="958"/>
      <c r="K132" s="53">
        <f t="shared" si="27"/>
        <v>1</v>
      </c>
      <c r="L132" s="958"/>
      <c r="M132" s="53">
        <f t="shared" si="28"/>
        <v>1</v>
      </c>
      <c r="N132" s="958"/>
      <c r="O132" s="53">
        <f t="shared" si="29"/>
        <v>1</v>
      </c>
      <c r="P132" s="958"/>
      <c r="Q132" s="53">
        <f t="shared" si="30"/>
        <v>1</v>
      </c>
      <c r="R132" s="488">
        <f t="shared" si="31"/>
        <v>0</v>
      </c>
      <c r="S132" s="795">
        <f t="shared" si="32"/>
        <v>0</v>
      </c>
    </row>
    <row r="133" spans="1:19">
      <c r="A133" s="960"/>
      <c r="B133" s="137"/>
      <c r="C133" s="53">
        <f t="shared" si="23"/>
        <v>1</v>
      </c>
      <c r="D133" s="958"/>
      <c r="E133" s="53">
        <f t="shared" si="24"/>
        <v>1</v>
      </c>
      <c r="F133" s="958"/>
      <c r="G133" s="53">
        <f t="shared" si="25"/>
        <v>1</v>
      </c>
      <c r="H133" s="958"/>
      <c r="I133" s="53">
        <f t="shared" si="26"/>
        <v>1</v>
      </c>
      <c r="J133" s="958"/>
      <c r="K133" s="53">
        <f t="shared" si="27"/>
        <v>1</v>
      </c>
      <c r="L133" s="958"/>
      <c r="M133" s="53">
        <f t="shared" si="28"/>
        <v>1</v>
      </c>
      <c r="N133" s="958"/>
      <c r="O133" s="53">
        <f t="shared" si="29"/>
        <v>1</v>
      </c>
      <c r="P133" s="958"/>
      <c r="Q133" s="53">
        <f t="shared" si="30"/>
        <v>1</v>
      </c>
      <c r="R133" s="488">
        <f t="shared" si="31"/>
        <v>0</v>
      </c>
      <c r="S133" s="795">
        <f t="shared" si="32"/>
        <v>0</v>
      </c>
    </row>
    <row r="134" spans="1:19">
      <c r="A134" s="960"/>
      <c r="B134" s="137"/>
      <c r="C134" s="53">
        <f t="shared" si="23"/>
        <v>1</v>
      </c>
      <c r="D134" s="958"/>
      <c r="E134" s="53">
        <f t="shared" si="24"/>
        <v>1</v>
      </c>
      <c r="F134" s="958"/>
      <c r="G134" s="53">
        <f t="shared" si="25"/>
        <v>1</v>
      </c>
      <c r="H134" s="958"/>
      <c r="I134" s="53">
        <f t="shared" si="26"/>
        <v>1</v>
      </c>
      <c r="J134" s="958"/>
      <c r="K134" s="53">
        <f t="shared" si="27"/>
        <v>1</v>
      </c>
      <c r="L134" s="958"/>
      <c r="M134" s="53">
        <f t="shared" si="28"/>
        <v>1</v>
      </c>
      <c r="N134" s="958"/>
      <c r="O134" s="53">
        <f t="shared" si="29"/>
        <v>1</v>
      </c>
      <c r="P134" s="958"/>
      <c r="Q134" s="53">
        <f t="shared" si="30"/>
        <v>1</v>
      </c>
      <c r="R134" s="488">
        <f t="shared" si="31"/>
        <v>0</v>
      </c>
      <c r="S134" s="795">
        <f t="shared" si="32"/>
        <v>0</v>
      </c>
    </row>
    <row r="135" spans="1:19">
      <c r="A135" s="960"/>
      <c r="B135" s="137"/>
      <c r="C135" s="53">
        <f t="shared" si="23"/>
        <v>1</v>
      </c>
      <c r="D135" s="958"/>
      <c r="E135" s="53">
        <f t="shared" si="24"/>
        <v>1</v>
      </c>
      <c r="F135" s="958"/>
      <c r="G135" s="53">
        <f t="shared" si="25"/>
        <v>1</v>
      </c>
      <c r="H135" s="958"/>
      <c r="I135" s="53">
        <f t="shared" si="26"/>
        <v>1</v>
      </c>
      <c r="J135" s="958"/>
      <c r="K135" s="53">
        <f t="shared" si="27"/>
        <v>1</v>
      </c>
      <c r="L135" s="958"/>
      <c r="M135" s="53">
        <f t="shared" si="28"/>
        <v>1</v>
      </c>
      <c r="N135" s="958"/>
      <c r="O135" s="53">
        <f t="shared" si="29"/>
        <v>1</v>
      </c>
      <c r="P135" s="958"/>
      <c r="Q135" s="53">
        <f t="shared" si="30"/>
        <v>1</v>
      </c>
      <c r="R135" s="488">
        <f t="shared" si="31"/>
        <v>0</v>
      </c>
      <c r="S135" s="795">
        <f t="shared" si="32"/>
        <v>0</v>
      </c>
    </row>
    <row r="136" spans="1:19">
      <c r="A136" s="960"/>
      <c r="B136" s="137"/>
      <c r="C136" s="53">
        <f t="shared" si="23"/>
        <v>1</v>
      </c>
      <c r="D136" s="958"/>
      <c r="E136" s="53">
        <f t="shared" si="24"/>
        <v>1</v>
      </c>
      <c r="F136" s="958"/>
      <c r="G136" s="53">
        <f t="shared" si="25"/>
        <v>1</v>
      </c>
      <c r="H136" s="958"/>
      <c r="I136" s="53">
        <f t="shared" si="26"/>
        <v>1</v>
      </c>
      <c r="J136" s="958"/>
      <c r="K136" s="53">
        <f t="shared" si="27"/>
        <v>1</v>
      </c>
      <c r="L136" s="958"/>
      <c r="M136" s="53">
        <f t="shared" si="28"/>
        <v>1</v>
      </c>
      <c r="N136" s="958"/>
      <c r="O136" s="53">
        <f t="shared" si="29"/>
        <v>1</v>
      </c>
      <c r="P136" s="958"/>
      <c r="Q136" s="53">
        <f t="shared" si="30"/>
        <v>1</v>
      </c>
      <c r="R136" s="488">
        <f t="shared" si="31"/>
        <v>0</v>
      </c>
      <c r="S136" s="795">
        <f t="shared" si="32"/>
        <v>0</v>
      </c>
    </row>
    <row r="137" spans="1:19">
      <c r="A137" s="960"/>
      <c r="B137" s="137"/>
      <c r="C137" s="53">
        <f t="shared" si="23"/>
        <v>1</v>
      </c>
      <c r="D137" s="958"/>
      <c r="E137" s="53">
        <f t="shared" si="24"/>
        <v>1</v>
      </c>
      <c r="F137" s="958"/>
      <c r="G137" s="53">
        <f t="shared" si="25"/>
        <v>1</v>
      </c>
      <c r="H137" s="958"/>
      <c r="I137" s="53">
        <f t="shared" si="26"/>
        <v>1</v>
      </c>
      <c r="J137" s="958"/>
      <c r="K137" s="53">
        <f t="shared" si="27"/>
        <v>1</v>
      </c>
      <c r="L137" s="958"/>
      <c r="M137" s="53">
        <f t="shared" si="28"/>
        <v>1</v>
      </c>
      <c r="N137" s="958"/>
      <c r="O137" s="53">
        <f t="shared" si="29"/>
        <v>1</v>
      </c>
      <c r="P137" s="958"/>
      <c r="Q137" s="53">
        <f t="shared" si="30"/>
        <v>1</v>
      </c>
      <c r="R137" s="488">
        <f t="shared" si="31"/>
        <v>0</v>
      </c>
      <c r="S137" s="795">
        <f t="shared" si="32"/>
        <v>0</v>
      </c>
    </row>
    <row r="138" spans="1:19">
      <c r="A138" s="960"/>
      <c r="B138" s="137"/>
      <c r="C138" s="53">
        <f t="shared" si="23"/>
        <v>1</v>
      </c>
      <c r="D138" s="958"/>
      <c r="E138" s="53">
        <f t="shared" si="24"/>
        <v>1</v>
      </c>
      <c r="F138" s="958"/>
      <c r="G138" s="53">
        <f t="shared" si="25"/>
        <v>1</v>
      </c>
      <c r="H138" s="958"/>
      <c r="I138" s="53">
        <f t="shared" si="26"/>
        <v>1</v>
      </c>
      <c r="J138" s="958"/>
      <c r="K138" s="53">
        <f t="shared" si="27"/>
        <v>1</v>
      </c>
      <c r="L138" s="958"/>
      <c r="M138" s="53">
        <f t="shared" si="28"/>
        <v>1</v>
      </c>
      <c r="N138" s="958"/>
      <c r="O138" s="53">
        <f t="shared" si="29"/>
        <v>1</v>
      </c>
      <c r="P138" s="958"/>
      <c r="Q138" s="53">
        <f t="shared" si="30"/>
        <v>1</v>
      </c>
      <c r="R138" s="488">
        <f t="shared" si="31"/>
        <v>0</v>
      </c>
      <c r="S138" s="795">
        <f t="shared" si="32"/>
        <v>0</v>
      </c>
    </row>
    <row r="139" spans="1:19">
      <c r="A139" s="960"/>
      <c r="B139" s="137"/>
      <c r="C139" s="53">
        <f t="shared" si="23"/>
        <v>1</v>
      </c>
      <c r="D139" s="958"/>
      <c r="E139" s="53">
        <f t="shared" si="24"/>
        <v>1</v>
      </c>
      <c r="F139" s="958"/>
      <c r="G139" s="53">
        <f t="shared" si="25"/>
        <v>1</v>
      </c>
      <c r="H139" s="958"/>
      <c r="I139" s="53">
        <f t="shared" si="26"/>
        <v>1</v>
      </c>
      <c r="J139" s="958"/>
      <c r="K139" s="53">
        <f t="shared" si="27"/>
        <v>1</v>
      </c>
      <c r="L139" s="958"/>
      <c r="M139" s="53">
        <f t="shared" si="28"/>
        <v>1</v>
      </c>
      <c r="N139" s="958"/>
      <c r="O139" s="53">
        <f t="shared" si="29"/>
        <v>1</v>
      </c>
      <c r="P139" s="958"/>
      <c r="Q139" s="53">
        <f t="shared" si="30"/>
        <v>1</v>
      </c>
      <c r="R139" s="488">
        <f t="shared" si="31"/>
        <v>0</v>
      </c>
      <c r="S139" s="795">
        <f t="shared" si="32"/>
        <v>0</v>
      </c>
    </row>
    <row r="140" spans="1:19">
      <c r="A140" s="960"/>
      <c r="B140" s="137"/>
      <c r="C140" s="53">
        <f t="shared" si="23"/>
        <v>1</v>
      </c>
      <c r="D140" s="958"/>
      <c r="E140" s="53">
        <f t="shared" si="24"/>
        <v>1</v>
      </c>
      <c r="F140" s="958"/>
      <c r="G140" s="53">
        <f t="shared" si="25"/>
        <v>1</v>
      </c>
      <c r="H140" s="958"/>
      <c r="I140" s="53">
        <f t="shared" si="26"/>
        <v>1</v>
      </c>
      <c r="J140" s="958"/>
      <c r="K140" s="53">
        <f t="shared" si="27"/>
        <v>1</v>
      </c>
      <c r="L140" s="958"/>
      <c r="M140" s="53">
        <f t="shared" si="28"/>
        <v>1</v>
      </c>
      <c r="N140" s="958"/>
      <c r="O140" s="53">
        <f t="shared" si="29"/>
        <v>1</v>
      </c>
      <c r="P140" s="958"/>
      <c r="Q140" s="53">
        <f t="shared" si="30"/>
        <v>1</v>
      </c>
      <c r="R140" s="488">
        <f t="shared" si="31"/>
        <v>0</v>
      </c>
      <c r="S140" s="795">
        <f t="shared" si="32"/>
        <v>0</v>
      </c>
    </row>
    <row r="141" spans="1:19">
      <c r="A141" s="960"/>
      <c r="B141" s="137"/>
      <c r="C141" s="53">
        <f t="shared" si="23"/>
        <v>1</v>
      </c>
      <c r="D141" s="958"/>
      <c r="E141" s="53">
        <f t="shared" si="24"/>
        <v>1</v>
      </c>
      <c r="F141" s="958"/>
      <c r="G141" s="53">
        <f t="shared" si="25"/>
        <v>1</v>
      </c>
      <c r="H141" s="958"/>
      <c r="I141" s="53">
        <f t="shared" si="26"/>
        <v>1</v>
      </c>
      <c r="J141" s="958"/>
      <c r="K141" s="53">
        <f t="shared" si="27"/>
        <v>1</v>
      </c>
      <c r="L141" s="958"/>
      <c r="M141" s="53">
        <f t="shared" si="28"/>
        <v>1</v>
      </c>
      <c r="N141" s="958"/>
      <c r="O141" s="53">
        <f t="shared" si="29"/>
        <v>1</v>
      </c>
      <c r="P141" s="958"/>
      <c r="Q141" s="53">
        <f t="shared" si="30"/>
        <v>1</v>
      </c>
      <c r="R141" s="488">
        <f t="shared" si="31"/>
        <v>0</v>
      </c>
      <c r="S141" s="795">
        <f t="shared" si="32"/>
        <v>0</v>
      </c>
    </row>
    <row r="142" spans="1:19">
      <c r="A142" s="960"/>
      <c r="B142" s="137"/>
      <c r="C142" s="53">
        <f t="shared" si="23"/>
        <v>1</v>
      </c>
      <c r="D142" s="958"/>
      <c r="E142" s="53">
        <f t="shared" si="24"/>
        <v>1</v>
      </c>
      <c r="F142" s="958"/>
      <c r="G142" s="53">
        <f t="shared" si="25"/>
        <v>1</v>
      </c>
      <c r="H142" s="958"/>
      <c r="I142" s="53">
        <f t="shared" si="26"/>
        <v>1</v>
      </c>
      <c r="J142" s="958"/>
      <c r="K142" s="53">
        <f t="shared" si="27"/>
        <v>1</v>
      </c>
      <c r="L142" s="958"/>
      <c r="M142" s="53">
        <f t="shared" si="28"/>
        <v>1</v>
      </c>
      <c r="N142" s="958"/>
      <c r="O142" s="53">
        <f t="shared" si="29"/>
        <v>1</v>
      </c>
      <c r="P142" s="958"/>
      <c r="Q142" s="53">
        <f t="shared" si="30"/>
        <v>1</v>
      </c>
      <c r="R142" s="488">
        <f t="shared" si="31"/>
        <v>0</v>
      </c>
      <c r="S142" s="795">
        <f t="shared" si="32"/>
        <v>0</v>
      </c>
    </row>
    <row r="143" spans="1:19">
      <c r="A143" s="960"/>
      <c r="B143" s="137"/>
      <c r="C143" s="53">
        <f t="shared" si="23"/>
        <v>1</v>
      </c>
      <c r="D143" s="958"/>
      <c r="E143" s="53">
        <f t="shared" si="24"/>
        <v>1</v>
      </c>
      <c r="F143" s="958"/>
      <c r="G143" s="53">
        <f t="shared" si="25"/>
        <v>1</v>
      </c>
      <c r="H143" s="958"/>
      <c r="I143" s="53">
        <f t="shared" si="26"/>
        <v>1</v>
      </c>
      <c r="J143" s="958"/>
      <c r="K143" s="53">
        <f t="shared" si="27"/>
        <v>1</v>
      </c>
      <c r="L143" s="958"/>
      <c r="M143" s="53">
        <f t="shared" si="28"/>
        <v>1</v>
      </c>
      <c r="N143" s="958"/>
      <c r="O143" s="53">
        <f t="shared" si="29"/>
        <v>1</v>
      </c>
      <c r="P143" s="958"/>
      <c r="Q143" s="53">
        <f t="shared" si="30"/>
        <v>1</v>
      </c>
      <c r="R143" s="488">
        <f t="shared" si="31"/>
        <v>0</v>
      </c>
      <c r="S143" s="795">
        <f t="shared" si="32"/>
        <v>0</v>
      </c>
    </row>
    <row r="144" spans="1:19">
      <c r="A144" s="960"/>
      <c r="B144" s="137"/>
      <c r="C144" s="53">
        <f t="shared" si="23"/>
        <v>1</v>
      </c>
      <c r="D144" s="958"/>
      <c r="E144" s="53">
        <f t="shared" si="24"/>
        <v>1</v>
      </c>
      <c r="F144" s="958"/>
      <c r="G144" s="53">
        <f t="shared" si="25"/>
        <v>1</v>
      </c>
      <c r="H144" s="958"/>
      <c r="I144" s="53">
        <f t="shared" si="26"/>
        <v>1</v>
      </c>
      <c r="J144" s="958"/>
      <c r="K144" s="53">
        <f t="shared" si="27"/>
        <v>1</v>
      </c>
      <c r="L144" s="958"/>
      <c r="M144" s="53">
        <f t="shared" si="28"/>
        <v>1</v>
      </c>
      <c r="N144" s="958"/>
      <c r="O144" s="53">
        <f t="shared" si="29"/>
        <v>1</v>
      </c>
      <c r="P144" s="958"/>
      <c r="Q144" s="53">
        <f t="shared" si="30"/>
        <v>1</v>
      </c>
      <c r="R144" s="488">
        <f t="shared" si="31"/>
        <v>0</v>
      </c>
      <c r="S144" s="795">
        <f t="shared" si="32"/>
        <v>0</v>
      </c>
    </row>
    <row r="145" spans="1:19">
      <c r="A145" s="960"/>
      <c r="B145" s="137"/>
      <c r="C145" s="53">
        <f t="shared" si="23"/>
        <v>1</v>
      </c>
      <c r="D145" s="958"/>
      <c r="E145" s="53">
        <f t="shared" si="24"/>
        <v>1</v>
      </c>
      <c r="F145" s="958"/>
      <c r="G145" s="53">
        <f t="shared" si="25"/>
        <v>1</v>
      </c>
      <c r="H145" s="958"/>
      <c r="I145" s="53">
        <f t="shared" si="26"/>
        <v>1</v>
      </c>
      <c r="J145" s="958"/>
      <c r="K145" s="53">
        <f t="shared" si="27"/>
        <v>1</v>
      </c>
      <c r="L145" s="958"/>
      <c r="M145" s="53">
        <f t="shared" si="28"/>
        <v>1</v>
      </c>
      <c r="N145" s="958"/>
      <c r="O145" s="53">
        <f t="shared" si="29"/>
        <v>1</v>
      </c>
      <c r="P145" s="958"/>
      <c r="Q145" s="53">
        <f t="shared" si="30"/>
        <v>1</v>
      </c>
      <c r="R145" s="488">
        <f t="shared" si="31"/>
        <v>0</v>
      </c>
      <c r="S145" s="795">
        <f t="shared" si="32"/>
        <v>0</v>
      </c>
    </row>
    <row r="146" spans="1:19">
      <c r="A146" s="960"/>
      <c r="B146" s="137"/>
      <c r="C146" s="53">
        <f t="shared" si="23"/>
        <v>1</v>
      </c>
      <c r="D146" s="958"/>
      <c r="E146" s="53">
        <f t="shared" si="24"/>
        <v>1</v>
      </c>
      <c r="F146" s="958"/>
      <c r="G146" s="53">
        <f t="shared" si="25"/>
        <v>1</v>
      </c>
      <c r="H146" s="958"/>
      <c r="I146" s="53">
        <f t="shared" si="26"/>
        <v>1</v>
      </c>
      <c r="J146" s="958"/>
      <c r="K146" s="53">
        <f t="shared" si="27"/>
        <v>1</v>
      </c>
      <c r="L146" s="958"/>
      <c r="M146" s="53">
        <f t="shared" si="28"/>
        <v>1</v>
      </c>
      <c r="N146" s="958"/>
      <c r="O146" s="53">
        <f t="shared" si="29"/>
        <v>1</v>
      </c>
      <c r="P146" s="958"/>
      <c r="Q146" s="53">
        <f t="shared" si="30"/>
        <v>1</v>
      </c>
      <c r="R146" s="488">
        <f t="shared" si="31"/>
        <v>0</v>
      </c>
      <c r="S146" s="795">
        <f t="shared" si="32"/>
        <v>0</v>
      </c>
    </row>
    <row r="147" spans="1:19">
      <c r="A147" s="960"/>
      <c r="B147" s="137"/>
      <c r="C147" s="53">
        <f t="shared" si="23"/>
        <v>1</v>
      </c>
      <c r="D147" s="958"/>
      <c r="E147" s="53">
        <f t="shared" si="24"/>
        <v>1</v>
      </c>
      <c r="F147" s="958"/>
      <c r="G147" s="53">
        <f t="shared" si="25"/>
        <v>1</v>
      </c>
      <c r="H147" s="958"/>
      <c r="I147" s="53">
        <f t="shared" si="26"/>
        <v>1</v>
      </c>
      <c r="J147" s="958"/>
      <c r="K147" s="53">
        <f t="shared" si="27"/>
        <v>1</v>
      </c>
      <c r="L147" s="958"/>
      <c r="M147" s="53">
        <f t="shared" si="28"/>
        <v>1</v>
      </c>
      <c r="N147" s="958"/>
      <c r="O147" s="53">
        <f t="shared" si="29"/>
        <v>1</v>
      </c>
      <c r="P147" s="958"/>
      <c r="Q147" s="53">
        <f t="shared" si="30"/>
        <v>1</v>
      </c>
      <c r="R147" s="488">
        <f t="shared" si="31"/>
        <v>0</v>
      </c>
      <c r="S147" s="795">
        <f t="shared" si="32"/>
        <v>0</v>
      </c>
    </row>
    <row r="148" spans="1:19">
      <c r="A148" s="960"/>
      <c r="B148" s="137"/>
      <c r="C148" s="53">
        <f t="shared" si="23"/>
        <v>1</v>
      </c>
      <c r="D148" s="958"/>
      <c r="E148" s="53">
        <f t="shared" si="24"/>
        <v>1</v>
      </c>
      <c r="F148" s="958"/>
      <c r="G148" s="53">
        <f t="shared" si="25"/>
        <v>1</v>
      </c>
      <c r="H148" s="958"/>
      <c r="I148" s="53">
        <f t="shared" si="26"/>
        <v>1</v>
      </c>
      <c r="J148" s="958"/>
      <c r="K148" s="53">
        <f t="shared" si="27"/>
        <v>1</v>
      </c>
      <c r="L148" s="958"/>
      <c r="M148" s="53">
        <f t="shared" si="28"/>
        <v>1</v>
      </c>
      <c r="N148" s="958"/>
      <c r="O148" s="53">
        <f t="shared" si="29"/>
        <v>1</v>
      </c>
      <c r="P148" s="958"/>
      <c r="Q148" s="53">
        <f t="shared" si="30"/>
        <v>1</v>
      </c>
      <c r="R148" s="488">
        <f t="shared" si="31"/>
        <v>0</v>
      </c>
      <c r="S148" s="795">
        <f t="shared" si="32"/>
        <v>0</v>
      </c>
    </row>
    <row r="149" spans="1:19">
      <c r="A149" s="960"/>
      <c r="B149" s="137"/>
      <c r="C149" s="53">
        <f t="shared" si="23"/>
        <v>1</v>
      </c>
      <c r="D149" s="958"/>
      <c r="E149" s="53">
        <f t="shared" si="24"/>
        <v>1</v>
      </c>
      <c r="F149" s="958"/>
      <c r="G149" s="53">
        <f t="shared" si="25"/>
        <v>1</v>
      </c>
      <c r="H149" s="958"/>
      <c r="I149" s="53">
        <f t="shared" si="26"/>
        <v>1</v>
      </c>
      <c r="J149" s="958"/>
      <c r="K149" s="53">
        <f t="shared" si="27"/>
        <v>1</v>
      </c>
      <c r="L149" s="958"/>
      <c r="M149" s="53">
        <f t="shared" si="28"/>
        <v>1</v>
      </c>
      <c r="N149" s="958"/>
      <c r="O149" s="53">
        <f t="shared" si="29"/>
        <v>1</v>
      </c>
      <c r="P149" s="958"/>
      <c r="Q149" s="53">
        <f t="shared" si="30"/>
        <v>1</v>
      </c>
      <c r="R149" s="488">
        <f t="shared" si="31"/>
        <v>0</v>
      </c>
      <c r="S149" s="795">
        <f t="shared" si="32"/>
        <v>0</v>
      </c>
    </row>
    <row r="150" spans="1:19">
      <c r="A150" s="960"/>
      <c r="B150" s="137"/>
      <c r="C150" s="53">
        <f t="shared" si="23"/>
        <v>1</v>
      </c>
      <c r="D150" s="958"/>
      <c r="E150" s="53">
        <f t="shared" si="24"/>
        <v>1</v>
      </c>
      <c r="F150" s="958"/>
      <c r="G150" s="53">
        <f t="shared" si="25"/>
        <v>1</v>
      </c>
      <c r="H150" s="958"/>
      <c r="I150" s="53">
        <f t="shared" si="26"/>
        <v>1</v>
      </c>
      <c r="J150" s="958"/>
      <c r="K150" s="53">
        <f t="shared" si="27"/>
        <v>1</v>
      </c>
      <c r="L150" s="958"/>
      <c r="M150" s="53">
        <f t="shared" si="28"/>
        <v>1</v>
      </c>
      <c r="N150" s="958"/>
      <c r="O150" s="53">
        <f t="shared" si="29"/>
        <v>1</v>
      </c>
      <c r="P150" s="958"/>
      <c r="Q150" s="53">
        <f t="shared" si="30"/>
        <v>1</v>
      </c>
      <c r="R150" s="488">
        <f t="shared" si="31"/>
        <v>0</v>
      </c>
      <c r="S150" s="795">
        <f t="shared" si="32"/>
        <v>0</v>
      </c>
    </row>
    <row r="151" spans="1:19">
      <c r="A151" s="960"/>
      <c r="B151" s="137"/>
      <c r="C151" s="53">
        <f t="shared" si="23"/>
        <v>1</v>
      </c>
      <c r="D151" s="958"/>
      <c r="E151" s="53">
        <f t="shared" si="24"/>
        <v>1</v>
      </c>
      <c r="F151" s="958"/>
      <c r="G151" s="53">
        <f t="shared" si="25"/>
        <v>1</v>
      </c>
      <c r="H151" s="958"/>
      <c r="I151" s="53">
        <f t="shared" si="26"/>
        <v>1</v>
      </c>
      <c r="J151" s="958"/>
      <c r="K151" s="53">
        <f t="shared" si="27"/>
        <v>1</v>
      </c>
      <c r="L151" s="958"/>
      <c r="M151" s="53">
        <f t="shared" si="28"/>
        <v>1</v>
      </c>
      <c r="N151" s="958"/>
      <c r="O151" s="53">
        <f t="shared" si="29"/>
        <v>1</v>
      </c>
      <c r="P151" s="958"/>
      <c r="Q151" s="53">
        <f t="shared" si="30"/>
        <v>1</v>
      </c>
      <c r="R151" s="488">
        <f t="shared" si="31"/>
        <v>0</v>
      </c>
      <c r="S151" s="795">
        <f t="shared" si="32"/>
        <v>0</v>
      </c>
    </row>
    <row r="152" spans="1:19">
      <c r="A152" s="960"/>
      <c r="B152" s="137"/>
      <c r="C152" s="53">
        <f t="shared" si="23"/>
        <v>1</v>
      </c>
      <c r="D152" s="958"/>
      <c r="E152" s="53">
        <f t="shared" si="24"/>
        <v>1</v>
      </c>
      <c r="F152" s="958"/>
      <c r="G152" s="53">
        <f t="shared" si="25"/>
        <v>1</v>
      </c>
      <c r="H152" s="958"/>
      <c r="I152" s="53">
        <f t="shared" si="26"/>
        <v>1</v>
      </c>
      <c r="J152" s="958"/>
      <c r="K152" s="53">
        <f t="shared" si="27"/>
        <v>1</v>
      </c>
      <c r="L152" s="958"/>
      <c r="M152" s="53">
        <f t="shared" si="28"/>
        <v>1</v>
      </c>
      <c r="N152" s="958"/>
      <c r="O152" s="53">
        <f t="shared" si="29"/>
        <v>1</v>
      </c>
      <c r="P152" s="958"/>
      <c r="Q152" s="53">
        <f t="shared" si="30"/>
        <v>1</v>
      </c>
      <c r="R152" s="488">
        <f t="shared" si="31"/>
        <v>0</v>
      </c>
      <c r="S152" s="795">
        <f t="shared" si="32"/>
        <v>0</v>
      </c>
    </row>
    <row r="153" spans="1:19">
      <c r="A153" s="960"/>
      <c r="B153" s="137"/>
      <c r="C153" s="53">
        <f t="shared" si="23"/>
        <v>1</v>
      </c>
      <c r="D153" s="958"/>
      <c r="E153" s="53">
        <f t="shared" si="24"/>
        <v>1</v>
      </c>
      <c r="F153" s="958"/>
      <c r="G153" s="53">
        <f t="shared" si="25"/>
        <v>1</v>
      </c>
      <c r="H153" s="958"/>
      <c r="I153" s="53">
        <f t="shared" si="26"/>
        <v>1</v>
      </c>
      <c r="J153" s="958"/>
      <c r="K153" s="53">
        <f t="shared" si="27"/>
        <v>1</v>
      </c>
      <c r="L153" s="958"/>
      <c r="M153" s="53">
        <f t="shared" si="28"/>
        <v>1</v>
      </c>
      <c r="N153" s="958"/>
      <c r="O153" s="53">
        <f t="shared" si="29"/>
        <v>1</v>
      </c>
      <c r="P153" s="958"/>
      <c r="Q153" s="53">
        <f t="shared" si="30"/>
        <v>1</v>
      </c>
      <c r="R153" s="488">
        <f t="shared" si="31"/>
        <v>0</v>
      </c>
      <c r="S153" s="795">
        <f t="shared" si="32"/>
        <v>0</v>
      </c>
    </row>
    <row r="154" spans="1:19">
      <c r="A154" s="960"/>
      <c r="B154" s="137"/>
      <c r="C154" s="53">
        <f t="shared" ref="C154:C217" si="33">IF(B154="",1,(LOOKUP(B154,$3:$3,$4:$4)-LOOKUP($B$24,$3:$3,$4:$4)+100)/100)</f>
        <v>1</v>
      </c>
      <c r="D154" s="958"/>
      <c r="E154" s="53">
        <f t="shared" ref="E154:E217" si="34">(SUMIF($5:$5,D154,$6:$6)-SUMIF($5:$5,$D$24,$6:$6)+100)/100</f>
        <v>1</v>
      </c>
      <c r="F154" s="958"/>
      <c r="G154" s="53">
        <f t="shared" ref="G154:G217" si="35">(SUMIF($7:$7,F154,$8:$8)-SUMIF($7:$7,$F$24,$8:$8)+100)/100</f>
        <v>1</v>
      </c>
      <c r="H154" s="958"/>
      <c r="I154" s="53">
        <f t="shared" ref="I154:I217" si="36">(SUMIF($9:$9,H154,$10:$10)-SUMIF($9:$9,$H$24,$10:$10)+100)/100</f>
        <v>1</v>
      </c>
      <c r="J154" s="958"/>
      <c r="K154" s="53">
        <f t="shared" ref="K154:K217" si="37">(SUMIF($11:$11,J154,$12:$12)-SUMIF($11:$11,$J$24,$12:$12)+100)/100</f>
        <v>1</v>
      </c>
      <c r="L154" s="958"/>
      <c r="M154" s="53">
        <f t="shared" ref="M154:M217" si="38">(SUMIF($13:$13,L154,$14:$14)-SUMIF($13:$13,$L$24,$14:$14)+100)/100</f>
        <v>1</v>
      </c>
      <c r="N154" s="958"/>
      <c r="O154" s="53">
        <f t="shared" ref="O154:O217" si="39">(SUMIF($15:$15,N154,$16:$16)-SUMIF($15:$15,$N$24,$16:$16)+100)/100</f>
        <v>1</v>
      </c>
      <c r="P154" s="958"/>
      <c r="Q154" s="53">
        <f t="shared" ref="Q154:Q217" si="40">(SUMIF($17:$17,P154,$18:$18)-SUMIF($17:$17,$P$24,$18:$18)+100)/100</f>
        <v>1</v>
      </c>
      <c r="R154" s="488">
        <f t="shared" ref="R154:R217" si="41">IF(B154="",0,ROUND($R$24*C154*E154*G154*I154*K154*M154*O154*Q154,0))</f>
        <v>0</v>
      </c>
      <c r="S154" s="795">
        <f t="shared" si="32"/>
        <v>0</v>
      </c>
    </row>
    <row r="155" spans="1:19">
      <c r="A155" s="960"/>
      <c r="B155" s="137"/>
      <c r="C155" s="53">
        <f t="shared" si="33"/>
        <v>1</v>
      </c>
      <c r="D155" s="958"/>
      <c r="E155" s="53">
        <f t="shared" si="34"/>
        <v>1</v>
      </c>
      <c r="F155" s="958"/>
      <c r="G155" s="53">
        <f t="shared" si="35"/>
        <v>1</v>
      </c>
      <c r="H155" s="958"/>
      <c r="I155" s="53">
        <f t="shared" si="36"/>
        <v>1</v>
      </c>
      <c r="J155" s="958"/>
      <c r="K155" s="53">
        <f t="shared" si="37"/>
        <v>1</v>
      </c>
      <c r="L155" s="958"/>
      <c r="M155" s="53">
        <f t="shared" si="38"/>
        <v>1</v>
      </c>
      <c r="N155" s="958"/>
      <c r="O155" s="53">
        <f t="shared" si="39"/>
        <v>1</v>
      </c>
      <c r="P155" s="958"/>
      <c r="Q155" s="53">
        <f t="shared" si="40"/>
        <v>1</v>
      </c>
      <c r="R155" s="488">
        <f t="shared" si="41"/>
        <v>0</v>
      </c>
      <c r="S155" s="795">
        <f t="shared" si="32"/>
        <v>0</v>
      </c>
    </row>
    <row r="156" spans="1:19">
      <c r="A156" s="960"/>
      <c r="B156" s="137"/>
      <c r="C156" s="53">
        <f t="shared" si="33"/>
        <v>1</v>
      </c>
      <c r="D156" s="958"/>
      <c r="E156" s="53">
        <f t="shared" si="34"/>
        <v>1</v>
      </c>
      <c r="F156" s="958"/>
      <c r="G156" s="53">
        <f t="shared" si="35"/>
        <v>1</v>
      </c>
      <c r="H156" s="958"/>
      <c r="I156" s="53">
        <f t="shared" si="36"/>
        <v>1</v>
      </c>
      <c r="J156" s="958"/>
      <c r="K156" s="53">
        <f t="shared" si="37"/>
        <v>1</v>
      </c>
      <c r="L156" s="958"/>
      <c r="M156" s="53">
        <f t="shared" si="38"/>
        <v>1</v>
      </c>
      <c r="N156" s="958"/>
      <c r="O156" s="53">
        <f t="shared" si="39"/>
        <v>1</v>
      </c>
      <c r="P156" s="958"/>
      <c r="Q156" s="53">
        <f t="shared" si="40"/>
        <v>1</v>
      </c>
      <c r="R156" s="488">
        <f t="shared" si="41"/>
        <v>0</v>
      </c>
      <c r="S156" s="795">
        <f t="shared" si="32"/>
        <v>0</v>
      </c>
    </row>
    <row r="157" spans="1:19">
      <c r="A157" s="960"/>
      <c r="B157" s="137"/>
      <c r="C157" s="53">
        <f t="shared" si="33"/>
        <v>1</v>
      </c>
      <c r="D157" s="958"/>
      <c r="E157" s="53">
        <f t="shared" si="34"/>
        <v>1</v>
      </c>
      <c r="F157" s="958"/>
      <c r="G157" s="53">
        <f t="shared" si="35"/>
        <v>1</v>
      </c>
      <c r="H157" s="958"/>
      <c r="I157" s="53">
        <f t="shared" si="36"/>
        <v>1</v>
      </c>
      <c r="J157" s="958"/>
      <c r="K157" s="53">
        <f t="shared" si="37"/>
        <v>1</v>
      </c>
      <c r="L157" s="958"/>
      <c r="M157" s="53">
        <f t="shared" si="38"/>
        <v>1</v>
      </c>
      <c r="N157" s="958"/>
      <c r="O157" s="53">
        <f t="shared" si="39"/>
        <v>1</v>
      </c>
      <c r="P157" s="958"/>
      <c r="Q157" s="53">
        <f t="shared" si="40"/>
        <v>1</v>
      </c>
      <c r="R157" s="488">
        <f t="shared" si="41"/>
        <v>0</v>
      </c>
      <c r="S157" s="795">
        <f t="shared" si="32"/>
        <v>0</v>
      </c>
    </row>
    <row r="158" spans="1:19">
      <c r="A158" s="960"/>
      <c r="B158" s="137"/>
      <c r="C158" s="53">
        <f t="shared" si="33"/>
        <v>1</v>
      </c>
      <c r="D158" s="958"/>
      <c r="E158" s="53">
        <f t="shared" si="34"/>
        <v>1</v>
      </c>
      <c r="F158" s="958"/>
      <c r="G158" s="53">
        <f t="shared" si="35"/>
        <v>1</v>
      </c>
      <c r="H158" s="958"/>
      <c r="I158" s="53">
        <f t="shared" si="36"/>
        <v>1</v>
      </c>
      <c r="J158" s="958"/>
      <c r="K158" s="53">
        <f t="shared" si="37"/>
        <v>1</v>
      </c>
      <c r="L158" s="958"/>
      <c r="M158" s="53">
        <f t="shared" si="38"/>
        <v>1</v>
      </c>
      <c r="N158" s="958"/>
      <c r="O158" s="53">
        <f t="shared" si="39"/>
        <v>1</v>
      </c>
      <c r="P158" s="958"/>
      <c r="Q158" s="53">
        <f t="shared" si="40"/>
        <v>1</v>
      </c>
      <c r="R158" s="488">
        <f t="shared" si="41"/>
        <v>0</v>
      </c>
      <c r="S158" s="795">
        <f t="shared" si="32"/>
        <v>0</v>
      </c>
    </row>
    <row r="159" spans="1:19">
      <c r="A159" s="960"/>
      <c r="B159" s="137"/>
      <c r="C159" s="53">
        <f t="shared" si="33"/>
        <v>1</v>
      </c>
      <c r="D159" s="958"/>
      <c r="E159" s="53">
        <f t="shared" si="34"/>
        <v>1</v>
      </c>
      <c r="F159" s="958"/>
      <c r="G159" s="53">
        <f t="shared" si="35"/>
        <v>1</v>
      </c>
      <c r="H159" s="958"/>
      <c r="I159" s="53">
        <f t="shared" si="36"/>
        <v>1</v>
      </c>
      <c r="J159" s="958"/>
      <c r="K159" s="53">
        <f t="shared" si="37"/>
        <v>1</v>
      </c>
      <c r="L159" s="958"/>
      <c r="M159" s="53">
        <f t="shared" si="38"/>
        <v>1</v>
      </c>
      <c r="N159" s="958"/>
      <c r="O159" s="53">
        <f t="shared" si="39"/>
        <v>1</v>
      </c>
      <c r="P159" s="958"/>
      <c r="Q159" s="53">
        <f t="shared" si="40"/>
        <v>1</v>
      </c>
      <c r="R159" s="488">
        <f t="shared" si="41"/>
        <v>0</v>
      </c>
      <c r="S159" s="795">
        <f t="shared" si="32"/>
        <v>0</v>
      </c>
    </row>
    <row r="160" spans="1:19">
      <c r="A160" s="960"/>
      <c r="B160" s="137"/>
      <c r="C160" s="53">
        <f t="shared" si="33"/>
        <v>1</v>
      </c>
      <c r="D160" s="958"/>
      <c r="E160" s="53">
        <f t="shared" si="34"/>
        <v>1</v>
      </c>
      <c r="F160" s="958"/>
      <c r="G160" s="53">
        <f t="shared" si="35"/>
        <v>1</v>
      </c>
      <c r="H160" s="958"/>
      <c r="I160" s="53">
        <f t="shared" si="36"/>
        <v>1</v>
      </c>
      <c r="J160" s="958"/>
      <c r="K160" s="53">
        <f t="shared" si="37"/>
        <v>1</v>
      </c>
      <c r="L160" s="958"/>
      <c r="M160" s="53">
        <f t="shared" si="38"/>
        <v>1</v>
      </c>
      <c r="N160" s="958"/>
      <c r="O160" s="53">
        <f t="shared" si="39"/>
        <v>1</v>
      </c>
      <c r="P160" s="958"/>
      <c r="Q160" s="53">
        <f t="shared" si="40"/>
        <v>1</v>
      </c>
      <c r="R160" s="488">
        <f t="shared" si="41"/>
        <v>0</v>
      </c>
      <c r="S160" s="795">
        <f t="shared" si="32"/>
        <v>0</v>
      </c>
    </row>
    <row r="161" spans="1:19">
      <c r="A161" s="960"/>
      <c r="B161" s="137"/>
      <c r="C161" s="53">
        <f t="shared" si="33"/>
        <v>1</v>
      </c>
      <c r="D161" s="958"/>
      <c r="E161" s="53">
        <f t="shared" si="34"/>
        <v>1</v>
      </c>
      <c r="F161" s="958"/>
      <c r="G161" s="53">
        <f t="shared" si="35"/>
        <v>1</v>
      </c>
      <c r="H161" s="958"/>
      <c r="I161" s="53">
        <f t="shared" si="36"/>
        <v>1</v>
      </c>
      <c r="J161" s="958"/>
      <c r="K161" s="53">
        <f t="shared" si="37"/>
        <v>1</v>
      </c>
      <c r="L161" s="958"/>
      <c r="M161" s="53">
        <f t="shared" si="38"/>
        <v>1</v>
      </c>
      <c r="N161" s="958"/>
      <c r="O161" s="53">
        <f t="shared" si="39"/>
        <v>1</v>
      </c>
      <c r="P161" s="958"/>
      <c r="Q161" s="53">
        <f t="shared" si="40"/>
        <v>1</v>
      </c>
      <c r="R161" s="488">
        <f t="shared" si="41"/>
        <v>0</v>
      </c>
      <c r="S161" s="795">
        <f t="shared" si="32"/>
        <v>0</v>
      </c>
    </row>
    <row r="162" spans="1:19">
      <c r="A162" s="960"/>
      <c r="B162" s="137"/>
      <c r="C162" s="53">
        <f t="shared" si="33"/>
        <v>1</v>
      </c>
      <c r="D162" s="958"/>
      <c r="E162" s="53">
        <f t="shared" si="34"/>
        <v>1</v>
      </c>
      <c r="F162" s="958"/>
      <c r="G162" s="53">
        <f t="shared" si="35"/>
        <v>1</v>
      </c>
      <c r="H162" s="958"/>
      <c r="I162" s="53">
        <f t="shared" si="36"/>
        <v>1</v>
      </c>
      <c r="J162" s="958"/>
      <c r="K162" s="53">
        <f t="shared" si="37"/>
        <v>1</v>
      </c>
      <c r="L162" s="958"/>
      <c r="M162" s="53">
        <f t="shared" si="38"/>
        <v>1</v>
      </c>
      <c r="N162" s="958"/>
      <c r="O162" s="53">
        <f t="shared" si="39"/>
        <v>1</v>
      </c>
      <c r="P162" s="958"/>
      <c r="Q162" s="53">
        <f t="shared" si="40"/>
        <v>1</v>
      </c>
      <c r="R162" s="488">
        <f t="shared" si="41"/>
        <v>0</v>
      </c>
      <c r="S162" s="795">
        <f t="shared" si="32"/>
        <v>0</v>
      </c>
    </row>
    <row r="163" spans="1:19">
      <c r="A163" s="960"/>
      <c r="B163" s="137"/>
      <c r="C163" s="53">
        <f t="shared" si="33"/>
        <v>1</v>
      </c>
      <c r="D163" s="958"/>
      <c r="E163" s="53">
        <f t="shared" si="34"/>
        <v>1</v>
      </c>
      <c r="F163" s="958"/>
      <c r="G163" s="53">
        <f t="shared" si="35"/>
        <v>1</v>
      </c>
      <c r="H163" s="958"/>
      <c r="I163" s="53">
        <f t="shared" si="36"/>
        <v>1</v>
      </c>
      <c r="J163" s="958"/>
      <c r="K163" s="53">
        <f t="shared" si="37"/>
        <v>1</v>
      </c>
      <c r="L163" s="958"/>
      <c r="M163" s="53">
        <f t="shared" si="38"/>
        <v>1</v>
      </c>
      <c r="N163" s="958"/>
      <c r="O163" s="53">
        <f t="shared" si="39"/>
        <v>1</v>
      </c>
      <c r="P163" s="958"/>
      <c r="Q163" s="53">
        <f t="shared" si="40"/>
        <v>1</v>
      </c>
      <c r="R163" s="488">
        <f t="shared" si="41"/>
        <v>0</v>
      </c>
      <c r="S163" s="795">
        <f t="shared" si="32"/>
        <v>0</v>
      </c>
    </row>
    <row r="164" spans="1:19">
      <c r="A164" s="960"/>
      <c r="B164" s="137"/>
      <c r="C164" s="53">
        <f t="shared" si="33"/>
        <v>1</v>
      </c>
      <c r="D164" s="958"/>
      <c r="E164" s="53">
        <f t="shared" si="34"/>
        <v>1</v>
      </c>
      <c r="F164" s="958"/>
      <c r="G164" s="53">
        <f t="shared" si="35"/>
        <v>1</v>
      </c>
      <c r="H164" s="958"/>
      <c r="I164" s="53">
        <f t="shared" si="36"/>
        <v>1</v>
      </c>
      <c r="J164" s="958"/>
      <c r="K164" s="53">
        <f t="shared" si="37"/>
        <v>1</v>
      </c>
      <c r="L164" s="958"/>
      <c r="M164" s="53">
        <f t="shared" si="38"/>
        <v>1</v>
      </c>
      <c r="N164" s="958"/>
      <c r="O164" s="53">
        <f t="shared" si="39"/>
        <v>1</v>
      </c>
      <c r="P164" s="958"/>
      <c r="Q164" s="53">
        <f t="shared" si="40"/>
        <v>1</v>
      </c>
      <c r="R164" s="488">
        <f t="shared" si="41"/>
        <v>0</v>
      </c>
      <c r="S164" s="795">
        <f t="shared" si="32"/>
        <v>0</v>
      </c>
    </row>
    <row r="165" spans="1:19">
      <c r="A165" s="960"/>
      <c r="B165" s="137"/>
      <c r="C165" s="53">
        <f t="shared" si="33"/>
        <v>1</v>
      </c>
      <c r="D165" s="958"/>
      <c r="E165" s="53">
        <f t="shared" si="34"/>
        <v>1</v>
      </c>
      <c r="F165" s="958"/>
      <c r="G165" s="53">
        <f t="shared" si="35"/>
        <v>1</v>
      </c>
      <c r="H165" s="958"/>
      <c r="I165" s="53">
        <f t="shared" si="36"/>
        <v>1</v>
      </c>
      <c r="J165" s="958"/>
      <c r="K165" s="53">
        <f t="shared" si="37"/>
        <v>1</v>
      </c>
      <c r="L165" s="958"/>
      <c r="M165" s="53">
        <f t="shared" si="38"/>
        <v>1</v>
      </c>
      <c r="N165" s="958"/>
      <c r="O165" s="53">
        <f t="shared" si="39"/>
        <v>1</v>
      </c>
      <c r="P165" s="958"/>
      <c r="Q165" s="53">
        <f t="shared" si="40"/>
        <v>1</v>
      </c>
      <c r="R165" s="488">
        <f t="shared" si="41"/>
        <v>0</v>
      </c>
      <c r="S165" s="795">
        <f t="shared" si="32"/>
        <v>0</v>
      </c>
    </row>
    <row r="166" spans="1:19">
      <c r="A166" s="960"/>
      <c r="B166" s="137"/>
      <c r="C166" s="53">
        <f t="shared" si="33"/>
        <v>1</v>
      </c>
      <c r="D166" s="958"/>
      <c r="E166" s="53">
        <f t="shared" si="34"/>
        <v>1</v>
      </c>
      <c r="F166" s="958"/>
      <c r="G166" s="53">
        <f t="shared" si="35"/>
        <v>1</v>
      </c>
      <c r="H166" s="958"/>
      <c r="I166" s="53">
        <f t="shared" si="36"/>
        <v>1</v>
      </c>
      <c r="J166" s="958"/>
      <c r="K166" s="53">
        <f t="shared" si="37"/>
        <v>1</v>
      </c>
      <c r="L166" s="958"/>
      <c r="M166" s="53">
        <f t="shared" si="38"/>
        <v>1</v>
      </c>
      <c r="N166" s="958"/>
      <c r="O166" s="53">
        <f t="shared" si="39"/>
        <v>1</v>
      </c>
      <c r="P166" s="958"/>
      <c r="Q166" s="53">
        <f t="shared" si="40"/>
        <v>1</v>
      </c>
      <c r="R166" s="488">
        <f t="shared" si="41"/>
        <v>0</v>
      </c>
      <c r="S166" s="795">
        <f t="shared" si="32"/>
        <v>0</v>
      </c>
    </row>
    <row r="167" spans="1:19">
      <c r="A167" s="960"/>
      <c r="B167" s="137"/>
      <c r="C167" s="53">
        <f t="shared" si="33"/>
        <v>1</v>
      </c>
      <c r="D167" s="958"/>
      <c r="E167" s="53">
        <f t="shared" si="34"/>
        <v>1</v>
      </c>
      <c r="F167" s="958"/>
      <c r="G167" s="53">
        <f t="shared" si="35"/>
        <v>1</v>
      </c>
      <c r="H167" s="958"/>
      <c r="I167" s="53">
        <f t="shared" si="36"/>
        <v>1</v>
      </c>
      <c r="J167" s="958"/>
      <c r="K167" s="53">
        <f t="shared" si="37"/>
        <v>1</v>
      </c>
      <c r="L167" s="958"/>
      <c r="M167" s="53">
        <f t="shared" si="38"/>
        <v>1</v>
      </c>
      <c r="N167" s="958"/>
      <c r="O167" s="53">
        <f t="shared" si="39"/>
        <v>1</v>
      </c>
      <c r="P167" s="958"/>
      <c r="Q167" s="53">
        <f t="shared" si="40"/>
        <v>1</v>
      </c>
      <c r="R167" s="488">
        <f t="shared" si="41"/>
        <v>0</v>
      </c>
      <c r="S167" s="795">
        <f t="shared" si="32"/>
        <v>0</v>
      </c>
    </row>
    <row r="168" spans="1:19">
      <c r="A168" s="960"/>
      <c r="B168" s="137"/>
      <c r="C168" s="53">
        <f t="shared" si="33"/>
        <v>1</v>
      </c>
      <c r="D168" s="958"/>
      <c r="E168" s="53">
        <f t="shared" si="34"/>
        <v>1</v>
      </c>
      <c r="F168" s="958"/>
      <c r="G168" s="53">
        <f t="shared" si="35"/>
        <v>1</v>
      </c>
      <c r="H168" s="958"/>
      <c r="I168" s="53">
        <f t="shared" si="36"/>
        <v>1</v>
      </c>
      <c r="J168" s="958"/>
      <c r="K168" s="53">
        <f t="shared" si="37"/>
        <v>1</v>
      </c>
      <c r="L168" s="958"/>
      <c r="M168" s="53">
        <f t="shared" si="38"/>
        <v>1</v>
      </c>
      <c r="N168" s="958"/>
      <c r="O168" s="53">
        <f t="shared" si="39"/>
        <v>1</v>
      </c>
      <c r="P168" s="958"/>
      <c r="Q168" s="53">
        <f t="shared" si="40"/>
        <v>1</v>
      </c>
      <c r="R168" s="488">
        <f t="shared" si="41"/>
        <v>0</v>
      </c>
      <c r="S168" s="795">
        <f t="shared" si="32"/>
        <v>0</v>
      </c>
    </row>
    <row r="169" spans="1:19">
      <c r="A169" s="960"/>
      <c r="B169" s="137"/>
      <c r="C169" s="53">
        <f t="shared" si="33"/>
        <v>1</v>
      </c>
      <c r="D169" s="958"/>
      <c r="E169" s="53">
        <f t="shared" si="34"/>
        <v>1</v>
      </c>
      <c r="F169" s="958"/>
      <c r="G169" s="53">
        <f t="shared" si="35"/>
        <v>1</v>
      </c>
      <c r="H169" s="958"/>
      <c r="I169" s="53">
        <f t="shared" si="36"/>
        <v>1</v>
      </c>
      <c r="J169" s="958"/>
      <c r="K169" s="53">
        <f t="shared" si="37"/>
        <v>1</v>
      </c>
      <c r="L169" s="958"/>
      <c r="M169" s="53">
        <f t="shared" si="38"/>
        <v>1</v>
      </c>
      <c r="N169" s="958"/>
      <c r="O169" s="53">
        <f t="shared" si="39"/>
        <v>1</v>
      </c>
      <c r="P169" s="958"/>
      <c r="Q169" s="53">
        <f t="shared" si="40"/>
        <v>1</v>
      </c>
      <c r="R169" s="488">
        <f t="shared" si="41"/>
        <v>0</v>
      </c>
      <c r="S169" s="795">
        <f t="shared" si="32"/>
        <v>0</v>
      </c>
    </row>
    <row r="170" spans="1:19">
      <c r="A170" s="960"/>
      <c r="B170" s="137"/>
      <c r="C170" s="53">
        <f t="shared" si="33"/>
        <v>1</v>
      </c>
      <c r="D170" s="958"/>
      <c r="E170" s="53">
        <f t="shared" si="34"/>
        <v>1</v>
      </c>
      <c r="F170" s="958"/>
      <c r="G170" s="53">
        <f t="shared" si="35"/>
        <v>1</v>
      </c>
      <c r="H170" s="958"/>
      <c r="I170" s="53">
        <f t="shared" si="36"/>
        <v>1</v>
      </c>
      <c r="J170" s="958"/>
      <c r="K170" s="53">
        <f t="shared" si="37"/>
        <v>1</v>
      </c>
      <c r="L170" s="958"/>
      <c r="M170" s="53">
        <f t="shared" si="38"/>
        <v>1</v>
      </c>
      <c r="N170" s="958"/>
      <c r="O170" s="53">
        <f t="shared" si="39"/>
        <v>1</v>
      </c>
      <c r="P170" s="958"/>
      <c r="Q170" s="53">
        <f t="shared" si="40"/>
        <v>1</v>
      </c>
      <c r="R170" s="488">
        <f t="shared" si="41"/>
        <v>0</v>
      </c>
      <c r="S170" s="795">
        <f t="shared" si="32"/>
        <v>0</v>
      </c>
    </row>
    <row r="171" spans="1:19">
      <c r="A171" s="960"/>
      <c r="B171" s="137"/>
      <c r="C171" s="53">
        <f t="shared" si="33"/>
        <v>1</v>
      </c>
      <c r="D171" s="958"/>
      <c r="E171" s="53">
        <f t="shared" si="34"/>
        <v>1</v>
      </c>
      <c r="F171" s="958"/>
      <c r="G171" s="53">
        <f t="shared" si="35"/>
        <v>1</v>
      </c>
      <c r="H171" s="958"/>
      <c r="I171" s="53">
        <f t="shared" si="36"/>
        <v>1</v>
      </c>
      <c r="J171" s="958"/>
      <c r="K171" s="53">
        <f t="shared" si="37"/>
        <v>1</v>
      </c>
      <c r="L171" s="958"/>
      <c r="M171" s="53">
        <f t="shared" si="38"/>
        <v>1</v>
      </c>
      <c r="N171" s="958"/>
      <c r="O171" s="53">
        <f t="shared" si="39"/>
        <v>1</v>
      </c>
      <c r="P171" s="958"/>
      <c r="Q171" s="53">
        <f t="shared" si="40"/>
        <v>1</v>
      </c>
      <c r="R171" s="488">
        <f t="shared" si="41"/>
        <v>0</v>
      </c>
      <c r="S171" s="795">
        <f t="shared" si="32"/>
        <v>0</v>
      </c>
    </row>
    <row r="172" spans="1:19">
      <c r="A172" s="960"/>
      <c r="B172" s="137"/>
      <c r="C172" s="53">
        <f t="shared" si="33"/>
        <v>1</v>
      </c>
      <c r="D172" s="958"/>
      <c r="E172" s="53">
        <f t="shared" si="34"/>
        <v>1</v>
      </c>
      <c r="F172" s="958"/>
      <c r="G172" s="53">
        <f t="shared" si="35"/>
        <v>1</v>
      </c>
      <c r="H172" s="958"/>
      <c r="I172" s="53">
        <f t="shared" si="36"/>
        <v>1</v>
      </c>
      <c r="J172" s="958"/>
      <c r="K172" s="53">
        <f t="shared" si="37"/>
        <v>1</v>
      </c>
      <c r="L172" s="958"/>
      <c r="M172" s="53">
        <f t="shared" si="38"/>
        <v>1</v>
      </c>
      <c r="N172" s="958"/>
      <c r="O172" s="53">
        <f t="shared" si="39"/>
        <v>1</v>
      </c>
      <c r="P172" s="958"/>
      <c r="Q172" s="53">
        <f t="shared" si="40"/>
        <v>1</v>
      </c>
      <c r="R172" s="488">
        <f t="shared" si="41"/>
        <v>0</v>
      </c>
      <c r="S172" s="795">
        <f t="shared" si="32"/>
        <v>0</v>
      </c>
    </row>
    <row r="173" spans="1:19">
      <c r="A173" s="960"/>
      <c r="B173" s="137"/>
      <c r="C173" s="53">
        <f t="shared" si="33"/>
        <v>1</v>
      </c>
      <c r="D173" s="958"/>
      <c r="E173" s="53">
        <f t="shared" si="34"/>
        <v>1</v>
      </c>
      <c r="F173" s="958"/>
      <c r="G173" s="53">
        <f t="shared" si="35"/>
        <v>1</v>
      </c>
      <c r="H173" s="958"/>
      <c r="I173" s="53">
        <f t="shared" si="36"/>
        <v>1</v>
      </c>
      <c r="J173" s="958"/>
      <c r="K173" s="53">
        <f t="shared" si="37"/>
        <v>1</v>
      </c>
      <c r="L173" s="958"/>
      <c r="M173" s="53">
        <f t="shared" si="38"/>
        <v>1</v>
      </c>
      <c r="N173" s="958"/>
      <c r="O173" s="53">
        <f t="shared" si="39"/>
        <v>1</v>
      </c>
      <c r="P173" s="958"/>
      <c r="Q173" s="53">
        <f t="shared" si="40"/>
        <v>1</v>
      </c>
      <c r="R173" s="488">
        <f t="shared" si="41"/>
        <v>0</v>
      </c>
      <c r="S173" s="795">
        <f t="shared" si="32"/>
        <v>0</v>
      </c>
    </row>
    <row r="174" spans="1:19">
      <c r="A174" s="960"/>
      <c r="B174" s="137"/>
      <c r="C174" s="53">
        <f t="shared" si="33"/>
        <v>1</v>
      </c>
      <c r="D174" s="958"/>
      <c r="E174" s="53">
        <f t="shared" si="34"/>
        <v>1</v>
      </c>
      <c r="F174" s="958"/>
      <c r="G174" s="53">
        <f t="shared" si="35"/>
        <v>1</v>
      </c>
      <c r="H174" s="958"/>
      <c r="I174" s="53">
        <f t="shared" si="36"/>
        <v>1</v>
      </c>
      <c r="J174" s="958"/>
      <c r="K174" s="53">
        <f t="shared" si="37"/>
        <v>1</v>
      </c>
      <c r="L174" s="958"/>
      <c r="M174" s="53">
        <f t="shared" si="38"/>
        <v>1</v>
      </c>
      <c r="N174" s="958"/>
      <c r="O174" s="53">
        <f t="shared" si="39"/>
        <v>1</v>
      </c>
      <c r="P174" s="958"/>
      <c r="Q174" s="53">
        <f t="shared" si="40"/>
        <v>1</v>
      </c>
      <c r="R174" s="488">
        <f t="shared" si="41"/>
        <v>0</v>
      </c>
      <c r="S174" s="795">
        <f t="shared" si="32"/>
        <v>0</v>
      </c>
    </row>
    <row r="175" spans="1:19">
      <c r="A175" s="960"/>
      <c r="B175" s="137"/>
      <c r="C175" s="53">
        <f t="shared" si="33"/>
        <v>1</v>
      </c>
      <c r="D175" s="958"/>
      <c r="E175" s="53">
        <f t="shared" si="34"/>
        <v>1</v>
      </c>
      <c r="F175" s="958"/>
      <c r="G175" s="53">
        <f t="shared" si="35"/>
        <v>1</v>
      </c>
      <c r="H175" s="958"/>
      <c r="I175" s="53">
        <f t="shared" si="36"/>
        <v>1</v>
      </c>
      <c r="J175" s="958"/>
      <c r="K175" s="53">
        <f t="shared" si="37"/>
        <v>1</v>
      </c>
      <c r="L175" s="958"/>
      <c r="M175" s="53">
        <f t="shared" si="38"/>
        <v>1</v>
      </c>
      <c r="N175" s="958"/>
      <c r="O175" s="53">
        <f t="shared" si="39"/>
        <v>1</v>
      </c>
      <c r="P175" s="958"/>
      <c r="Q175" s="53">
        <f t="shared" si="40"/>
        <v>1</v>
      </c>
      <c r="R175" s="488">
        <f t="shared" si="41"/>
        <v>0</v>
      </c>
      <c r="S175" s="795">
        <f t="shared" si="32"/>
        <v>0</v>
      </c>
    </row>
    <row r="176" spans="1:19">
      <c r="A176" s="960"/>
      <c r="B176" s="137"/>
      <c r="C176" s="53">
        <f t="shared" si="33"/>
        <v>1</v>
      </c>
      <c r="D176" s="958"/>
      <c r="E176" s="53">
        <f t="shared" si="34"/>
        <v>1</v>
      </c>
      <c r="F176" s="958"/>
      <c r="G176" s="53">
        <f t="shared" si="35"/>
        <v>1</v>
      </c>
      <c r="H176" s="958"/>
      <c r="I176" s="53">
        <f t="shared" si="36"/>
        <v>1</v>
      </c>
      <c r="J176" s="958"/>
      <c r="K176" s="53">
        <f t="shared" si="37"/>
        <v>1</v>
      </c>
      <c r="L176" s="958"/>
      <c r="M176" s="53">
        <f t="shared" si="38"/>
        <v>1</v>
      </c>
      <c r="N176" s="958"/>
      <c r="O176" s="53">
        <f t="shared" si="39"/>
        <v>1</v>
      </c>
      <c r="P176" s="958"/>
      <c r="Q176" s="53">
        <f t="shared" si="40"/>
        <v>1</v>
      </c>
      <c r="R176" s="488">
        <f t="shared" si="41"/>
        <v>0</v>
      </c>
      <c r="S176" s="795">
        <f t="shared" si="32"/>
        <v>0</v>
      </c>
    </row>
    <row r="177" spans="1:19">
      <c r="A177" s="960"/>
      <c r="B177" s="137"/>
      <c r="C177" s="53">
        <f t="shared" si="33"/>
        <v>1</v>
      </c>
      <c r="D177" s="958"/>
      <c r="E177" s="53">
        <f t="shared" si="34"/>
        <v>1</v>
      </c>
      <c r="F177" s="958"/>
      <c r="G177" s="53">
        <f t="shared" si="35"/>
        <v>1</v>
      </c>
      <c r="H177" s="958"/>
      <c r="I177" s="53">
        <f t="shared" si="36"/>
        <v>1</v>
      </c>
      <c r="J177" s="958"/>
      <c r="K177" s="53">
        <f t="shared" si="37"/>
        <v>1</v>
      </c>
      <c r="L177" s="958"/>
      <c r="M177" s="53">
        <f t="shared" si="38"/>
        <v>1</v>
      </c>
      <c r="N177" s="958"/>
      <c r="O177" s="53">
        <f t="shared" si="39"/>
        <v>1</v>
      </c>
      <c r="P177" s="958"/>
      <c r="Q177" s="53">
        <f t="shared" si="40"/>
        <v>1</v>
      </c>
      <c r="R177" s="488">
        <f t="shared" si="41"/>
        <v>0</v>
      </c>
      <c r="S177" s="795">
        <f t="shared" si="32"/>
        <v>0</v>
      </c>
    </row>
    <row r="178" spans="1:19">
      <c r="A178" s="960"/>
      <c r="B178" s="137"/>
      <c r="C178" s="53">
        <f t="shared" si="33"/>
        <v>1</v>
      </c>
      <c r="D178" s="958"/>
      <c r="E178" s="53">
        <f t="shared" si="34"/>
        <v>1</v>
      </c>
      <c r="F178" s="958"/>
      <c r="G178" s="53">
        <f t="shared" si="35"/>
        <v>1</v>
      </c>
      <c r="H178" s="958"/>
      <c r="I178" s="53">
        <f t="shared" si="36"/>
        <v>1</v>
      </c>
      <c r="J178" s="958"/>
      <c r="K178" s="53">
        <f t="shared" si="37"/>
        <v>1</v>
      </c>
      <c r="L178" s="958"/>
      <c r="M178" s="53">
        <f t="shared" si="38"/>
        <v>1</v>
      </c>
      <c r="N178" s="958"/>
      <c r="O178" s="53">
        <f t="shared" si="39"/>
        <v>1</v>
      </c>
      <c r="P178" s="958"/>
      <c r="Q178" s="53">
        <f t="shared" si="40"/>
        <v>1</v>
      </c>
      <c r="R178" s="488">
        <f t="shared" si="41"/>
        <v>0</v>
      </c>
      <c r="S178" s="795">
        <f t="shared" si="32"/>
        <v>0</v>
      </c>
    </row>
    <row r="179" spans="1:19">
      <c r="A179" s="960"/>
      <c r="B179" s="137"/>
      <c r="C179" s="53">
        <f t="shared" si="33"/>
        <v>1</v>
      </c>
      <c r="D179" s="958"/>
      <c r="E179" s="53">
        <f t="shared" si="34"/>
        <v>1</v>
      </c>
      <c r="F179" s="958"/>
      <c r="G179" s="53">
        <f t="shared" si="35"/>
        <v>1</v>
      </c>
      <c r="H179" s="958"/>
      <c r="I179" s="53">
        <f t="shared" si="36"/>
        <v>1</v>
      </c>
      <c r="J179" s="958"/>
      <c r="K179" s="53">
        <f t="shared" si="37"/>
        <v>1</v>
      </c>
      <c r="L179" s="958"/>
      <c r="M179" s="53">
        <f t="shared" si="38"/>
        <v>1</v>
      </c>
      <c r="N179" s="958"/>
      <c r="O179" s="53">
        <f t="shared" si="39"/>
        <v>1</v>
      </c>
      <c r="P179" s="958"/>
      <c r="Q179" s="53">
        <f t="shared" si="40"/>
        <v>1</v>
      </c>
      <c r="R179" s="488">
        <f t="shared" si="41"/>
        <v>0</v>
      </c>
      <c r="S179" s="795">
        <f t="shared" si="32"/>
        <v>0</v>
      </c>
    </row>
    <row r="180" spans="1:19">
      <c r="A180" s="960"/>
      <c r="B180" s="137"/>
      <c r="C180" s="53">
        <f t="shared" si="33"/>
        <v>1</v>
      </c>
      <c r="D180" s="958"/>
      <c r="E180" s="53">
        <f t="shared" si="34"/>
        <v>1</v>
      </c>
      <c r="F180" s="958"/>
      <c r="G180" s="53">
        <f t="shared" si="35"/>
        <v>1</v>
      </c>
      <c r="H180" s="958"/>
      <c r="I180" s="53">
        <f t="shared" si="36"/>
        <v>1</v>
      </c>
      <c r="J180" s="958"/>
      <c r="K180" s="53">
        <f t="shared" si="37"/>
        <v>1</v>
      </c>
      <c r="L180" s="958"/>
      <c r="M180" s="53">
        <f t="shared" si="38"/>
        <v>1</v>
      </c>
      <c r="N180" s="958"/>
      <c r="O180" s="53">
        <f t="shared" si="39"/>
        <v>1</v>
      </c>
      <c r="P180" s="958"/>
      <c r="Q180" s="53">
        <f t="shared" si="40"/>
        <v>1</v>
      </c>
      <c r="R180" s="488">
        <f t="shared" si="41"/>
        <v>0</v>
      </c>
      <c r="S180" s="795">
        <f t="shared" si="32"/>
        <v>0</v>
      </c>
    </row>
    <row r="181" spans="1:19">
      <c r="A181" s="960"/>
      <c r="B181" s="137"/>
      <c r="C181" s="53">
        <f t="shared" si="33"/>
        <v>1</v>
      </c>
      <c r="D181" s="958"/>
      <c r="E181" s="53">
        <f t="shared" si="34"/>
        <v>1</v>
      </c>
      <c r="F181" s="958"/>
      <c r="G181" s="53">
        <f t="shared" si="35"/>
        <v>1</v>
      </c>
      <c r="H181" s="958"/>
      <c r="I181" s="53">
        <f t="shared" si="36"/>
        <v>1</v>
      </c>
      <c r="J181" s="958"/>
      <c r="K181" s="53">
        <f t="shared" si="37"/>
        <v>1</v>
      </c>
      <c r="L181" s="958"/>
      <c r="M181" s="53">
        <f t="shared" si="38"/>
        <v>1</v>
      </c>
      <c r="N181" s="958"/>
      <c r="O181" s="53">
        <f t="shared" si="39"/>
        <v>1</v>
      </c>
      <c r="P181" s="958"/>
      <c r="Q181" s="53">
        <f t="shared" si="40"/>
        <v>1</v>
      </c>
      <c r="R181" s="488">
        <f t="shared" si="41"/>
        <v>0</v>
      </c>
      <c r="S181" s="795">
        <f t="shared" si="32"/>
        <v>0</v>
      </c>
    </row>
    <row r="182" spans="1:19">
      <c r="A182" s="960"/>
      <c r="B182" s="137"/>
      <c r="C182" s="53">
        <f t="shared" si="33"/>
        <v>1</v>
      </c>
      <c r="D182" s="958"/>
      <c r="E182" s="53">
        <f t="shared" si="34"/>
        <v>1</v>
      </c>
      <c r="F182" s="958"/>
      <c r="G182" s="53">
        <f t="shared" si="35"/>
        <v>1</v>
      </c>
      <c r="H182" s="958"/>
      <c r="I182" s="53">
        <f t="shared" si="36"/>
        <v>1</v>
      </c>
      <c r="J182" s="958"/>
      <c r="K182" s="53">
        <f t="shared" si="37"/>
        <v>1</v>
      </c>
      <c r="L182" s="958"/>
      <c r="M182" s="53">
        <f t="shared" si="38"/>
        <v>1</v>
      </c>
      <c r="N182" s="958"/>
      <c r="O182" s="53">
        <f t="shared" si="39"/>
        <v>1</v>
      </c>
      <c r="P182" s="958"/>
      <c r="Q182" s="53">
        <f t="shared" si="40"/>
        <v>1</v>
      </c>
      <c r="R182" s="488">
        <f t="shared" si="41"/>
        <v>0</v>
      </c>
      <c r="S182" s="795">
        <f t="shared" si="32"/>
        <v>0</v>
      </c>
    </row>
    <row r="183" spans="1:19">
      <c r="A183" s="960"/>
      <c r="B183" s="137"/>
      <c r="C183" s="53">
        <f t="shared" si="33"/>
        <v>1</v>
      </c>
      <c r="D183" s="958"/>
      <c r="E183" s="53">
        <f t="shared" si="34"/>
        <v>1</v>
      </c>
      <c r="F183" s="958"/>
      <c r="G183" s="53">
        <f t="shared" si="35"/>
        <v>1</v>
      </c>
      <c r="H183" s="958"/>
      <c r="I183" s="53">
        <f t="shared" si="36"/>
        <v>1</v>
      </c>
      <c r="J183" s="958"/>
      <c r="K183" s="53">
        <f t="shared" si="37"/>
        <v>1</v>
      </c>
      <c r="L183" s="958"/>
      <c r="M183" s="53">
        <f t="shared" si="38"/>
        <v>1</v>
      </c>
      <c r="N183" s="958"/>
      <c r="O183" s="53">
        <f t="shared" si="39"/>
        <v>1</v>
      </c>
      <c r="P183" s="958"/>
      <c r="Q183" s="53">
        <f t="shared" si="40"/>
        <v>1</v>
      </c>
      <c r="R183" s="488">
        <f t="shared" si="41"/>
        <v>0</v>
      </c>
      <c r="S183" s="795">
        <f t="shared" si="32"/>
        <v>0</v>
      </c>
    </row>
    <row r="184" spans="1:19">
      <c r="A184" s="960"/>
      <c r="B184" s="137"/>
      <c r="C184" s="53">
        <f t="shared" si="33"/>
        <v>1</v>
      </c>
      <c r="D184" s="958"/>
      <c r="E184" s="53">
        <f t="shared" si="34"/>
        <v>1</v>
      </c>
      <c r="F184" s="958"/>
      <c r="G184" s="53">
        <f t="shared" si="35"/>
        <v>1</v>
      </c>
      <c r="H184" s="958"/>
      <c r="I184" s="53">
        <f t="shared" si="36"/>
        <v>1</v>
      </c>
      <c r="J184" s="958"/>
      <c r="K184" s="53">
        <f t="shared" si="37"/>
        <v>1</v>
      </c>
      <c r="L184" s="958"/>
      <c r="M184" s="53">
        <f t="shared" si="38"/>
        <v>1</v>
      </c>
      <c r="N184" s="958"/>
      <c r="O184" s="53">
        <f t="shared" si="39"/>
        <v>1</v>
      </c>
      <c r="P184" s="958"/>
      <c r="Q184" s="53">
        <f t="shared" si="40"/>
        <v>1</v>
      </c>
      <c r="R184" s="488">
        <f t="shared" si="41"/>
        <v>0</v>
      </c>
      <c r="S184" s="795">
        <f t="shared" si="32"/>
        <v>0</v>
      </c>
    </row>
    <row r="185" spans="1:19">
      <c r="A185" s="960"/>
      <c r="B185" s="137"/>
      <c r="C185" s="53">
        <f t="shared" si="33"/>
        <v>1</v>
      </c>
      <c r="D185" s="958"/>
      <c r="E185" s="53">
        <f t="shared" si="34"/>
        <v>1</v>
      </c>
      <c r="F185" s="958"/>
      <c r="G185" s="53">
        <f t="shared" si="35"/>
        <v>1</v>
      </c>
      <c r="H185" s="958"/>
      <c r="I185" s="53">
        <f t="shared" si="36"/>
        <v>1</v>
      </c>
      <c r="J185" s="958"/>
      <c r="K185" s="53">
        <f t="shared" si="37"/>
        <v>1</v>
      </c>
      <c r="L185" s="958"/>
      <c r="M185" s="53">
        <f t="shared" si="38"/>
        <v>1</v>
      </c>
      <c r="N185" s="958"/>
      <c r="O185" s="53">
        <f t="shared" si="39"/>
        <v>1</v>
      </c>
      <c r="P185" s="958"/>
      <c r="Q185" s="53">
        <f t="shared" si="40"/>
        <v>1</v>
      </c>
      <c r="R185" s="488">
        <f t="shared" si="41"/>
        <v>0</v>
      </c>
      <c r="S185" s="795">
        <f t="shared" si="32"/>
        <v>0</v>
      </c>
    </row>
    <row r="186" spans="1:19">
      <c r="A186" s="960"/>
      <c r="B186" s="137"/>
      <c r="C186" s="53">
        <f t="shared" si="33"/>
        <v>1</v>
      </c>
      <c r="D186" s="958"/>
      <c r="E186" s="53">
        <f t="shared" si="34"/>
        <v>1</v>
      </c>
      <c r="F186" s="958"/>
      <c r="G186" s="53">
        <f t="shared" si="35"/>
        <v>1</v>
      </c>
      <c r="H186" s="958"/>
      <c r="I186" s="53">
        <f t="shared" si="36"/>
        <v>1</v>
      </c>
      <c r="J186" s="958"/>
      <c r="K186" s="53">
        <f t="shared" si="37"/>
        <v>1</v>
      </c>
      <c r="L186" s="958"/>
      <c r="M186" s="53">
        <f t="shared" si="38"/>
        <v>1</v>
      </c>
      <c r="N186" s="958"/>
      <c r="O186" s="53">
        <f t="shared" si="39"/>
        <v>1</v>
      </c>
      <c r="P186" s="958"/>
      <c r="Q186" s="53">
        <f t="shared" si="40"/>
        <v>1</v>
      </c>
      <c r="R186" s="488">
        <f t="shared" si="41"/>
        <v>0</v>
      </c>
      <c r="S186" s="795">
        <f t="shared" si="32"/>
        <v>0</v>
      </c>
    </row>
    <row r="187" spans="1:19">
      <c r="A187" s="960"/>
      <c r="B187" s="137"/>
      <c r="C187" s="53">
        <f t="shared" si="33"/>
        <v>1</v>
      </c>
      <c r="D187" s="958"/>
      <c r="E187" s="53">
        <f t="shared" si="34"/>
        <v>1</v>
      </c>
      <c r="F187" s="958"/>
      <c r="G187" s="53">
        <f t="shared" si="35"/>
        <v>1</v>
      </c>
      <c r="H187" s="958"/>
      <c r="I187" s="53">
        <f t="shared" si="36"/>
        <v>1</v>
      </c>
      <c r="J187" s="958"/>
      <c r="K187" s="53">
        <f t="shared" si="37"/>
        <v>1</v>
      </c>
      <c r="L187" s="958"/>
      <c r="M187" s="53">
        <f t="shared" si="38"/>
        <v>1</v>
      </c>
      <c r="N187" s="958"/>
      <c r="O187" s="53">
        <f t="shared" si="39"/>
        <v>1</v>
      </c>
      <c r="P187" s="958"/>
      <c r="Q187" s="53">
        <f t="shared" si="40"/>
        <v>1</v>
      </c>
      <c r="R187" s="488">
        <f t="shared" si="41"/>
        <v>0</v>
      </c>
      <c r="S187" s="795">
        <f t="shared" ref="S187:S222" si="42">ROUND(R187*B187/10000,0)</f>
        <v>0</v>
      </c>
    </row>
    <row r="188" spans="1:19">
      <c r="A188" s="960"/>
      <c r="B188" s="137"/>
      <c r="C188" s="53">
        <f t="shared" si="33"/>
        <v>1</v>
      </c>
      <c r="D188" s="958"/>
      <c r="E188" s="53">
        <f t="shared" si="34"/>
        <v>1</v>
      </c>
      <c r="F188" s="958"/>
      <c r="G188" s="53">
        <f t="shared" si="35"/>
        <v>1</v>
      </c>
      <c r="H188" s="958"/>
      <c r="I188" s="53">
        <f t="shared" si="36"/>
        <v>1</v>
      </c>
      <c r="J188" s="958"/>
      <c r="K188" s="53">
        <f t="shared" si="37"/>
        <v>1</v>
      </c>
      <c r="L188" s="958"/>
      <c r="M188" s="53">
        <f t="shared" si="38"/>
        <v>1</v>
      </c>
      <c r="N188" s="958"/>
      <c r="O188" s="53">
        <f t="shared" si="39"/>
        <v>1</v>
      </c>
      <c r="P188" s="958"/>
      <c r="Q188" s="53">
        <f t="shared" si="40"/>
        <v>1</v>
      </c>
      <c r="R188" s="488">
        <f t="shared" si="41"/>
        <v>0</v>
      </c>
      <c r="S188" s="795">
        <f t="shared" si="42"/>
        <v>0</v>
      </c>
    </row>
    <row r="189" spans="1:19">
      <c r="A189" s="960"/>
      <c r="B189" s="137"/>
      <c r="C189" s="53">
        <f t="shared" si="33"/>
        <v>1</v>
      </c>
      <c r="D189" s="958"/>
      <c r="E189" s="53">
        <f t="shared" si="34"/>
        <v>1</v>
      </c>
      <c r="F189" s="958"/>
      <c r="G189" s="53">
        <f t="shared" si="35"/>
        <v>1</v>
      </c>
      <c r="H189" s="958"/>
      <c r="I189" s="53">
        <f t="shared" si="36"/>
        <v>1</v>
      </c>
      <c r="J189" s="958"/>
      <c r="K189" s="53">
        <f t="shared" si="37"/>
        <v>1</v>
      </c>
      <c r="L189" s="958"/>
      <c r="M189" s="53">
        <f t="shared" si="38"/>
        <v>1</v>
      </c>
      <c r="N189" s="958"/>
      <c r="O189" s="53">
        <f t="shared" si="39"/>
        <v>1</v>
      </c>
      <c r="P189" s="958"/>
      <c r="Q189" s="53">
        <f t="shared" si="40"/>
        <v>1</v>
      </c>
      <c r="R189" s="488">
        <f t="shared" si="41"/>
        <v>0</v>
      </c>
      <c r="S189" s="795">
        <f t="shared" si="42"/>
        <v>0</v>
      </c>
    </row>
    <row r="190" spans="1:19">
      <c r="A190" s="960"/>
      <c r="B190" s="137"/>
      <c r="C190" s="53">
        <f t="shared" si="33"/>
        <v>1</v>
      </c>
      <c r="D190" s="958"/>
      <c r="E190" s="53">
        <f t="shared" si="34"/>
        <v>1</v>
      </c>
      <c r="F190" s="958"/>
      <c r="G190" s="53">
        <f t="shared" si="35"/>
        <v>1</v>
      </c>
      <c r="H190" s="958"/>
      <c r="I190" s="53">
        <f t="shared" si="36"/>
        <v>1</v>
      </c>
      <c r="J190" s="958"/>
      <c r="K190" s="53">
        <f t="shared" si="37"/>
        <v>1</v>
      </c>
      <c r="L190" s="958"/>
      <c r="M190" s="53">
        <f t="shared" si="38"/>
        <v>1</v>
      </c>
      <c r="N190" s="958"/>
      <c r="O190" s="53">
        <f t="shared" si="39"/>
        <v>1</v>
      </c>
      <c r="P190" s="958"/>
      <c r="Q190" s="53">
        <f t="shared" si="40"/>
        <v>1</v>
      </c>
      <c r="R190" s="488">
        <f t="shared" si="41"/>
        <v>0</v>
      </c>
      <c r="S190" s="795">
        <f t="shared" si="42"/>
        <v>0</v>
      </c>
    </row>
    <row r="191" spans="1:19">
      <c r="A191" s="960"/>
      <c r="B191" s="137"/>
      <c r="C191" s="53">
        <f t="shared" si="33"/>
        <v>1</v>
      </c>
      <c r="D191" s="958"/>
      <c r="E191" s="53">
        <f t="shared" si="34"/>
        <v>1</v>
      </c>
      <c r="F191" s="958"/>
      <c r="G191" s="53">
        <f t="shared" si="35"/>
        <v>1</v>
      </c>
      <c r="H191" s="958"/>
      <c r="I191" s="53">
        <f t="shared" si="36"/>
        <v>1</v>
      </c>
      <c r="J191" s="958"/>
      <c r="K191" s="53">
        <f t="shared" si="37"/>
        <v>1</v>
      </c>
      <c r="L191" s="958"/>
      <c r="M191" s="53">
        <f t="shared" si="38"/>
        <v>1</v>
      </c>
      <c r="N191" s="958"/>
      <c r="O191" s="53">
        <f t="shared" si="39"/>
        <v>1</v>
      </c>
      <c r="P191" s="958"/>
      <c r="Q191" s="53">
        <f t="shared" si="40"/>
        <v>1</v>
      </c>
      <c r="R191" s="488">
        <f t="shared" si="41"/>
        <v>0</v>
      </c>
      <c r="S191" s="795">
        <f t="shared" si="42"/>
        <v>0</v>
      </c>
    </row>
    <row r="192" spans="1:19">
      <c r="A192" s="960"/>
      <c r="B192" s="137"/>
      <c r="C192" s="53">
        <f t="shared" si="33"/>
        <v>1</v>
      </c>
      <c r="D192" s="958"/>
      <c r="E192" s="53">
        <f t="shared" si="34"/>
        <v>1</v>
      </c>
      <c r="F192" s="958"/>
      <c r="G192" s="53">
        <f t="shared" si="35"/>
        <v>1</v>
      </c>
      <c r="H192" s="958"/>
      <c r="I192" s="53">
        <f t="shared" si="36"/>
        <v>1</v>
      </c>
      <c r="J192" s="958"/>
      <c r="K192" s="53">
        <f t="shared" si="37"/>
        <v>1</v>
      </c>
      <c r="L192" s="958"/>
      <c r="M192" s="53">
        <f t="shared" si="38"/>
        <v>1</v>
      </c>
      <c r="N192" s="958"/>
      <c r="O192" s="53">
        <f t="shared" si="39"/>
        <v>1</v>
      </c>
      <c r="P192" s="958"/>
      <c r="Q192" s="53">
        <f t="shared" si="40"/>
        <v>1</v>
      </c>
      <c r="R192" s="488">
        <f t="shared" si="41"/>
        <v>0</v>
      </c>
      <c r="S192" s="795">
        <f t="shared" si="42"/>
        <v>0</v>
      </c>
    </row>
    <row r="193" spans="1:19">
      <c r="A193" s="960"/>
      <c r="B193" s="137"/>
      <c r="C193" s="53">
        <f t="shared" si="33"/>
        <v>1</v>
      </c>
      <c r="D193" s="958"/>
      <c r="E193" s="53">
        <f t="shared" si="34"/>
        <v>1</v>
      </c>
      <c r="F193" s="958"/>
      <c r="G193" s="53">
        <f t="shared" si="35"/>
        <v>1</v>
      </c>
      <c r="H193" s="958"/>
      <c r="I193" s="53">
        <f t="shared" si="36"/>
        <v>1</v>
      </c>
      <c r="J193" s="958"/>
      <c r="K193" s="53">
        <f t="shared" si="37"/>
        <v>1</v>
      </c>
      <c r="L193" s="958"/>
      <c r="M193" s="53">
        <f t="shared" si="38"/>
        <v>1</v>
      </c>
      <c r="N193" s="958"/>
      <c r="O193" s="53">
        <f t="shared" si="39"/>
        <v>1</v>
      </c>
      <c r="P193" s="958"/>
      <c r="Q193" s="53">
        <f t="shared" si="40"/>
        <v>1</v>
      </c>
      <c r="R193" s="488">
        <f t="shared" si="41"/>
        <v>0</v>
      </c>
      <c r="S193" s="795">
        <f t="shared" si="42"/>
        <v>0</v>
      </c>
    </row>
    <row r="194" spans="1:19">
      <c r="A194" s="960"/>
      <c r="B194" s="137"/>
      <c r="C194" s="53">
        <f t="shared" si="33"/>
        <v>1</v>
      </c>
      <c r="D194" s="958"/>
      <c r="E194" s="53">
        <f t="shared" si="34"/>
        <v>1</v>
      </c>
      <c r="F194" s="958"/>
      <c r="G194" s="53">
        <f t="shared" si="35"/>
        <v>1</v>
      </c>
      <c r="H194" s="958"/>
      <c r="I194" s="53">
        <f t="shared" si="36"/>
        <v>1</v>
      </c>
      <c r="J194" s="958"/>
      <c r="K194" s="53">
        <f t="shared" si="37"/>
        <v>1</v>
      </c>
      <c r="L194" s="958"/>
      <c r="M194" s="53">
        <f t="shared" si="38"/>
        <v>1</v>
      </c>
      <c r="N194" s="958"/>
      <c r="O194" s="53">
        <f t="shared" si="39"/>
        <v>1</v>
      </c>
      <c r="P194" s="958"/>
      <c r="Q194" s="53">
        <f t="shared" si="40"/>
        <v>1</v>
      </c>
      <c r="R194" s="488">
        <f t="shared" si="41"/>
        <v>0</v>
      </c>
      <c r="S194" s="795">
        <f t="shared" si="42"/>
        <v>0</v>
      </c>
    </row>
    <row r="195" spans="1:19">
      <c r="A195" s="960"/>
      <c r="B195" s="137"/>
      <c r="C195" s="53">
        <f t="shared" si="33"/>
        <v>1</v>
      </c>
      <c r="D195" s="958"/>
      <c r="E195" s="53">
        <f t="shared" si="34"/>
        <v>1</v>
      </c>
      <c r="F195" s="958"/>
      <c r="G195" s="53">
        <f t="shared" si="35"/>
        <v>1</v>
      </c>
      <c r="H195" s="958"/>
      <c r="I195" s="53">
        <f t="shared" si="36"/>
        <v>1</v>
      </c>
      <c r="J195" s="958"/>
      <c r="K195" s="53">
        <f t="shared" si="37"/>
        <v>1</v>
      </c>
      <c r="L195" s="958"/>
      <c r="M195" s="53">
        <f t="shared" si="38"/>
        <v>1</v>
      </c>
      <c r="N195" s="958"/>
      <c r="O195" s="53">
        <f t="shared" si="39"/>
        <v>1</v>
      </c>
      <c r="P195" s="958"/>
      <c r="Q195" s="53">
        <f t="shared" si="40"/>
        <v>1</v>
      </c>
      <c r="R195" s="488">
        <f t="shared" si="41"/>
        <v>0</v>
      </c>
      <c r="S195" s="795">
        <f t="shared" si="42"/>
        <v>0</v>
      </c>
    </row>
    <row r="196" spans="1:19">
      <c r="A196" s="960"/>
      <c r="B196" s="137"/>
      <c r="C196" s="53">
        <f t="shared" si="33"/>
        <v>1</v>
      </c>
      <c r="D196" s="958"/>
      <c r="E196" s="53">
        <f t="shared" si="34"/>
        <v>1</v>
      </c>
      <c r="F196" s="958"/>
      <c r="G196" s="53">
        <f t="shared" si="35"/>
        <v>1</v>
      </c>
      <c r="H196" s="958"/>
      <c r="I196" s="53">
        <f t="shared" si="36"/>
        <v>1</v>
      </c>
      <c r="J196" s="958"/>
      <c r="K196" s="53">
        <f t="shared" si="37"/>
        <v>1</v>
      </c>
      <c r="L196" s="958"/>
      <c r="M196" s="53">
        <f t="shared" si="38"/>
        <v>1</v>
      </c>
      <c r="N196" s="958"/>
      <c r="O196" s="53">
        <f t="shared" si="39"/>
        <v>1</v>
      </c>
      <c r="P196" s="958"/>
      <c r="Q196" s="53">
        <f t="shared" si="40"/>
        <v>1</v>
      </c>
      <c r="R196" s="488">
        <f t="shared" si="41"/>
        <v>0</v>
      </c>
      <c r="S196" s="795">
        <f t="shared" si="42"/>
        <v>0</v>
      </c>
    </row>
    <row r="197" spans="1:19">
      <c r="A197" s="960"/>
      <c r="B197" s="137"/>
      <c r="C197" s="53">
        <f t="shared" si="33"/>
        <v>1</v>
      </c>
      <c r="D197" s="958"/>
      <c r="E197" s="53">
        <f t="shared" si="34"/>
        <v>1</v>
      </c>
      <c r="F197" s="958"/>
      <c r="G197" s="53">
        <f t="shared" si="35"/>
        <v>1</v>
      </c>
      <c r="H197" s="958"/>
      <c r="I197" s="53">
        <f t="shared" si="36"/>
        <v>1</v>
      </c>
      <c r="J197" s="958"/>
      <c r="K197" s="53">
        <f t="shared" si="37"/>
        <v>1</v>
      </c>
      <c r="L197" s="958"/>
      <c r="M197" s="53">
        <f t="shared" si="38"/>
        <v>1</v>
      </c>
      <c r="N197" s="958"/>
      <c r="O197" s="53">
        <f t="shared" si="39"/>
        <v>1</v>
      </c>
      <c r="P197" s="958"/>
      <c r="Q197" s="53">
        <f t="shared" si="40"/>
        <v>1</v>
      </c>
      <c r="R197" s="488">
        <f t="shared" si="41"/>
        <v>0</v>
      </c>
      <c r="S197" s="795">
        <f t="shared" si="42"/>
        <v>0</v>
      </c>
    </row>
    <row r="198" spans="1:19">
      <c r="A198" s="960"/>
      <c r="B198" s="137"/>
      <c r="C198" s="53">
        <f t="shared" si="33"/>
        <v>1</v>
      </c>
      <c r="D198" s="958"/>
      <c r="E198" s="53">
        <f t="shared" si="34"/>
        <v>1</v>
      </c>
      <c r="F198" s="958"/>
      <c r="G198" s="53">
        <f t="shared" si="35"/>
        <v>1</v>
      </c>
      <c r="H198" s="958"/>
      <c r="I198" s="53">
        <f t="shared" si="36"/>
        <v>1</v>
      </c>
      <c r="J198" s="958"/>
      <c r="K198" s="53">
        <f t="shared" si="37"/>
        <v>1</v>
      </c>
      <c r="L198" s="958"/>
      <c r="M198" s="53">
        <f t="shared" si="38"/>
        <v>1</v>
      </c>
      <c r="N198" s="958"/>
      <c r="O198" s="53">
        <f t="shared" si="39"/>
        <v>1</v>
      </c>
      <c r="P198" s="958"/>
      <c r="Q198" s="53">
        <f t="shared" si="40"/>
        <v>1</v>
      </c>
      <c r="R198" s="488">
        <f t="shared" si="41"/>
        <v>0</v>
      </c>
      <c r="S198" s="795">
        <f t="shared" si="42"/>
        <v>0</v>
      </c>
    </row>
    <row r="199" spans="1:19">
      <c r="A199" s="960"/>
      <c r="B199" s="137"/>
      <c r="C199" s="53">
        <f t="shared" si="33"/>
        <v>1</v>
      </c>
      <c r="D199" s="958"/>
      <c r="E199" s="53">
        <f t="shared" si="34"/>
        <v>1</v>
      </c>
      <c r="F199" s="958"/>
      <c r="G199" s="53">
        <f t="shared" si="35"/>
        <v>1</v>
      </c>
      <c r="H199" s="958"/>
      <c r="I199" s="53">
        <f t="shared" si="36"/>
        <v>1</v>
      </c>
      <c r="J199" s="958"/>
      <c r="K199" s="53">
        <f t="shared" si="37"/>
        <v>1</v>
      </c>
      <c r="L199" s="958"/>
      <c r="M199" s="53">
        <f t="shared" si="38"/>
        <v>1</v>
      </c>
      <c r="N199" s="958"/>
      <c r="O199" s="53">
        <f t="shared" si="39"/>
        <v>1</v>
      </c>
      <c r="P199" s="958"/>
      <c r="Q199" s="53">
        <f t="shared" si="40"/>
        <v>1</v>
      </c>
      <c r="R199" s="488">
        <f t="shared" si="41"/>
        <v>0</v>
      </c>
      <c r="S199" s="795">
        <f t="shared" si="42"/>
        <v>0</v>
      </c>
    </row>
    <row r="200" spans="1:19">
      <c r="A200" s="960"/>
      <c r="B200" s="137"/>
      <c r="C200" s="53">
        <f t="shared" si="33"/>
        <v>1</v>
      </c>
      <c r="D200" s="958"/>
      <c r="E200" s="53">
        <f t="shared" si="34"/>
        <v>1</v>
      </c>
      <c r="F200" s="958"/>
      <c r="G200" s="53">
        <f t="shared" si="35"/>
        <v>1</v>
      </c>
      <c r="H200" s="958"/>
      <c r="I200" s="53">
        <f t="shared" si="36"/>
        <v>1</v>
      </c>
      <c r="J200" s="958"/>
      <c r="K200" s="53">
        <f t="shared" si="37"/>
        <v>1</v>
      </c>
      <c r="L200" s="958"/>
      <c r="M200" s="53">
        <f t="shared" si="38"/>
        <v>1</v>
      </c>
      <c r="N200" s="958"/>
      <c r="O200" s="53">
        <f t="shared" si="39"/>
        <v>1</v>
      </c>
      <c r="P200" s="958"/>
      <c r="Q200" s="53">
        <f t="shared" si="40"/>
        <v>1</v>
      </c>
      <c r="R200" s="488">
        <f t="shared" si="41"/>
        <v>0</v>
      </c>
      <c r="S200" s="795">
        <f t="shared" si="42"/>
        <v>0</v>
      </c>
    </row>
    <row r="201" spans="1:19">
      <c r="A201" s="960"/>
      <c r="B201" s="137"/>
      <c r="C201" s="53">
        <f t="shared" si="33"/>
        <v>1</v>
      </c>
      <c r="D201" s="958"/>
      <c r="E201" s="53">
        <f t="shared" si="34"/>
        <v>1</v>
      </c>
      <c r="F201" s="958"/>
      <c r="G201" s="53">
        <f t="shared" si="35"/>
        <v>1</v>
      </c>
      <c r="H201" s="958"/>
      <c r="I201" s="53">
        <f t="shared" si="36"/>
        <v>1</v>
      </c>
      <c r="J201" s="958"/>
      <c r="K201" s="53">
        <f t="shared" si="37"/>
        <v>1</v>
      </c>
      <c r="L201" s="958"/>
      <c r="M201" s="53">
        <f t="shared" si="38"/>
        <v>1</v>
      </c>
      <c r="N201" s="958"/>
      <c r="O201" s="53">
        <f t="shared" si="39"/>
        <v>1</v>
      </c>
      <c r="P201" s="958"/>
      <c r="Q201" s="53">
        <f t="shared" si="40"/>
        <v>1</v>
      </c>
      <c r="R201" s="488">
        <f t="shared" si="41"/>
        <v>0</v>
      </c>
      <c r="S201" s="795">
        <f t="shared" si="42"/>
        <v>0</v>
      </c>
    </row>
    <row r="202" spans="1:19">
      <c r="A202" s="960"/>
      <c r="B202" s="137"/>
      <c r="C202" s="53">
        <f t="shared" si="33"/>
        <v>1</v>
      </c>
      <c r="D202" s="958"/>
      <c r="E202" s="53">
        <f t="shared" si="34"/>
        <v>1</v>
      </c>
      <c r="F202" s="958"/>
      <c r="G202" s="53">
        <f t="shared" si="35"/>
        <v>1</v>
      </c>
      <c r="H202" s="958"/>
      <c r="I202" s="53">
        <f t="shared" si="36"/>
        <v>1</v>
      </c>
      <c r="J202" s="958"/>
      <c r="K202" s="53">
        <f t="shared" si="37"/>
        <v>1</v>
      </c>
      <c r="L202" s="958"/>
      <c r="M202" s="53">
        <f t="shared" si="38"/>
        <v>1</v>
      </c>
      <c r="N202" s="958"/>
      <c r="O202" s="53">
        <f t="shared" si="39"/>
        <v>1</v>
      </c>
      <c r="P202" s="958"/>
      <c r="Q202" s="53">
        <f t="shared" si="40"/>
        <v>1</v>
      </c>
      <c r="R202" s="488">
        <f t="shared" si="41"/>
        <v>0</v>
      </c>
      <c r="S202" s="795">
        <f t="shared" si="42"/>
        <v>0</v>
      </c>
    </row>
    <row r="203" spans="1:19">
      <c r="A203" s="960"/>
      <c r="B203" s="137"/>
      <c r="C203" s="53">
        <f t="shared" si="33"/>
        <v>1</v>
      </c>
      <c r="D203" s="958"/>
      <c r="E203" s="53">
        <f t="shared" si="34"/>
        <v>1</v>
      </c>
      <c r="F203" s="958"/>
      <c r="G203" s="53">
        <f t="shared" si="35"/>
        <v>1</v>
      </c>
      <c r="H203" s="958"/>
      <c r="I203" s="53">
        <f t="shared" si="36"/>
        <v>1</v>
      </c>
      <c r="J203" s="958"/>
      <c r="K203" s="53">
        <f t="shared" si="37"/>
        <v>1</v>
      </c>
      <c r="L203" s="958"/>
      <c r="M203" s="53">
        <f t="shared" si="38"/>
        <v>1</v>
      </c>
      <c r="N203" s="958"/>
      <c r="O203" s="53">
        <f t="shared" si="39"/>
        <v>1</v>
      </c>
      <c r="P203" s="958"/>
      <c r="Q203" s="53">
        <f t="shared" si="40"/>
        <v>1</v>
      </c>
      <c r="R203" s="488">
        <f t="shared" si="41"/>
        <v>0</v>
      </c>
      <c r="S203" s="795">
        <f t="shared" si="42"/>
        <v>0</v>
      </c>
    </row>
    <row r="204" spans="1:19">
      <c r="A204" s="960"/>
      <c r="B204" s="137"/>
      <c r="C204" s="53">
        <f t="shared" si="33"/>
        <v>1</v>
      </c>
      <c r="D204" s="958"/>
      <c r="E204" s="53">
        <f t="shared" si="34"/>
        <v>1</v>
      </c>
      <c r="F204" s="958"/>
      <c r="G204" s="53">
        <f t="shared" si="35"/>
        <v>1</v>
      </c>
      <c r="H204" s="958"/>
      <c r="I204" s="53">
        <f t="shared" si="36"/>
        <v>1</v>
      </c>
      <c r="J204" s="958"/>
      <c r="K204" s="53">
        <f t="shared" si="37"/>
        <v>1</v>
      </c>
      <c r="L204" s="958"/>
      <c r="M204" s="53">
        <f t="shared" si="38"/>
        <v>1</v>
      </c>
      <c r="N204" s="958"/>
      <c r="O204" s="53">
        <f t="shared" si="39"/>
        <v>1</v>
      </c>
      <c r="P204" s="958"/>
      <c r="Q204" s="53">
        <f t="shared" si="40"/>
        <v>1</v>
      </c>
      <c r="R204" s="488">
        <f t="shared" si="41"/>
        <v>0</v>
      </c>
      <c r="S204" s="795">
        <f t="shared" si="42"/>
        <v>0</v>
      </c>
    </row>
    <row r="205" spans="1:19">
      <c r="A205" s="960"/>
      <c r="B205" s="137"/>
      <c r="C205" s="53">
        <f t="shared" si="33"/>
        <v>1</v>
      </c>
      <c r="D205" s="958"/>
      <c r="E205" s="53">
        <f t="shared" si="34"/>
        <v>1</v>
      </c>
      <c r="F205" s="958"/>
      <c r="G205" s="53">
        <f t="shared" si="35"/>
        <v>1</v>
      </c>
      <c r="H205" s="958"/>
      <c r="I205" s="53">
        <f t="shared" si="36"/>
        <v>1</v>
      </c>
      <c r="J205" s="958"/>
      <c r="K205" s="53">
        <f t="shared" si="37"/>
        <v>1</v>
      </c>
      <c r="L205" s="958"/>
      <c r="M205" s="53">
        <f t="shared" si="38"/>
        <v>1</v>
      </c>
      <c r="N205" s="958"/>
      <c r="O205" s="53">
        <f t="shared" si="39"/>
        <v>1</v>
      </c>
      <c r="P205" s="958"/>
      <c r="Q205" s="53">
        <f t="shared" si="40"/>
        <v>1</v>
      </c>
      <c r="R205" s="488">
        <f t="shared" si="41"/>
        <v>0</v>
      </c>
      <c r="S205" s="795">
        <f t="shared" si="42"/>
        <v>0</v>
      </c>
    </row>
    <row r="206" spans="1:19">
      <c r="A206" s="960"/>
      <c r="B206" s="137"/>
      <c r="C206" s="53">
        <f t="shared" si="33"/>
        <v>1</v>
      </c>
      <c r="D206" s="958"/>
      <c r="E206" s="53">
        <f t="shared" si="34"/>
        <v>1</v>
      </c>
      <c r="F206" s="958"/>
      <c r="G206" s="53">
        <f t="shared" si="35"/>
        <v>1</v>
      </c>
      <c r="H206" s="958"/>
      <c r="I206" s="53">
        <f t="shared" si="36"/>
        <v>1</v>
      </c>
      <c r="J206" s="958"/>
      <c r="K206" s="53">
        <f t="shared" si="37"/>
        <v>1</v>
      </c>
      <c r="L206" s="958"/>
      <c r="M206" s="53">
        <f t="shared" si="38"/>
        <v>1</v>
      </c>
      <c r="N206" s="958"/>
      <c r="O206" s="53">
        <f t="shared" si="39"/>
        <v>1</v>
      </c>
      <c r="P206" s="958"/>
      <c r="Q206" s="53">
        <f t="shared" si="40"/>
        <v>1</v>
      </c>
      <c r="R206" s="488">
        <f t="shared" si="41"/>
        <v>0</v>
      </c>
      <c r="S206" s="795">
        <f t="shared" si="42"/>
        <v>0</v>
      </c>
    </row>
    <row r="207" spans="1:19">
      <c r="A207" s="960"/>
      <c r="B207" s="137"/>
      <c r="C207" s="53">
        <f t="shared" si="33"/>
        <v>1</v>
      </c>
      <c r="D207" s="958"/>
      <c r="E207" s="53">
        <f t="shared" si="34"/>
        <v>1</v>
      </c>
      <c r="F207" s="958"/>
      <c r="G207" s="53">
        <f t="shared" si="35"/>
        <v>1</v>
      </c>
      <c r="H207" s="958"/>
      <c r="I207" s="53">
        <f t="shared" si="36"/>
        <v>1</v>
      </c>
      <c r="J207" s="958"/>
      <c r="K207" s="53">
        <f t="shared" si="37"/>
        <v>1</v>
      </c>
      <c r="L207" s="958"/>
      <c r="M207" s="53">
        <f t="shared" si="38"/>
        <v>1</v>
      </c>
      <c r="N207" s="958"/>
      <c r="O207" s="53">
        <f t="shared" si="39"/>
        <v>1</v>
      </c>
      <c r="P207" s="958"/>
      <c r="Q207" s="53">
        <f t="shared" si="40"/>
        <v>1</v>
      </c>
      <c r="R207" s="488">
        <f t="shared" si="41"/>
        <v>0</v>
      </c>
      <c r="S207" s="795">
        <f t="shared" si="42"/>
        <v>0</v>
      </c>
    </row>
    <row r="208" spans="1:19">
      <c r="A208" s="960"/>
      <c r="B208" s="137"/>
      <c r="C208" s="53">
        <f t="shared" si="33"/>
        <v>1</v>
      </c>
      <c r="D208" s="958"/>
      <c r="E208" s="53">
        <f t="shared" si="34"/>
        <v>1</v>
      </c>
      <c r="F208" s="958"/>
      <c r="G208" s="53">
        <f t="shared" si="35"/>
        <v>1</v>
      </c>
      <c r="H208" s="958"/>
      <c r="I208" s="53">
        <f t="shared" si="36"/>
        <v>1</v>
      </c>
      <c r="J208" s="958"/>
      <c r="K208" s="53">
        <f t="shared" si="37"/>
        <v>1</v>
      </c>
      <c r="L208" s="958"/>
      <c r="M208" s="53">
        <f t="shared" si="38"/>
        <v>1</v>
      </c>
      <c r="N208" s="958"/>
      <c r="O208" s="53">
        <f t="shared" si="39"/>
        <v>1</v>
      </c>
      <c r="P208" s="958"/>
      <c r="Q208" s="53">
        <f t="shared" si="40"/>
        <v>1</v>
      </c>
      <c r="R208" s="488">
        <f t="shared" si="41"/>
        <v>0</v>
      </c>
      <c r="S208" s="795">
        <f t="shared" si="42"/>
        <v>0</v>
      </c>
    </row>
    <row r="209" spans="1:19">
      <c r="A209" s="960"/>
      <c r="B209" s="137"/>
      <c r="C209" s="53">
        <f t="shared" si="33"/>
        <v>1</v>
      </c>
      <c r="D209" s="958"/>
      <c r="E209" s="53">
        <f t="shared" si="34"/>
        <v>1</v>
      </c>
      <c r="F209" s="958"/>
      <c r="G209" s="53">
        <f t="shared" si="35"/>
        <v>1</v>
      </c>
      <c r="H209" s="958"/>
      <c r="I209" s="53">
        <f t="shared" si="36"/>
        <v>1</v>
      </c>
      <c r="J209" s="958"/>
      <c r="K209" s="53">
        <f t="shared" si="37"/>
        <v>1</v>
      </c>
      <c r="L209" s="958"/>
      <c r="M209" s="53">
        <f t="shared" si="38"/>
        <v>1</v>
      </c>
      <c r="N209" s="958"/>
      <c r="O209" s="53">
        <f t="shared" si="39"/>
        <v>1</v>
      </c>
      <c r="P209" s="958"/>
      <c r="Q209" s="53">
        <f t="shared" si="40"/>
        <v>1</v>
      </c>
      <c r="R209" s="488">
        <f t="shared" si="41"/>
        <v>0</v>
      </c>
      <c r="S209" s="795">
        <f t="shared" si="42"/>
        <v>0</v>
      </c>
    </row>
    <row r="210" spans="1:19">
      <c r="A210" s="960"/>
      <c r="B210" s="137"/>
      <c r="C210" s="53">
        <f t="shared" si="33"/>
        <v>1</v>
      </c>
      <c r="D210" s="958"/>
      <c r="E210" s="53">
        <f t="shared" si="34"/>
        <v>1</v>
      </c>
      <c r="F210" s="958"/>
      <c r="G210" s="53">
        <f t="shared" si="35"/>
        <v>1</v>
      </c>
      <c r="H210" s="958"/>
      <c r="I210" s="53">
        <f t="shared" si="36"/>
        <v>1</v>
      </c>
      <c r="J210" s="958"/>
      <c r="K210" s="53">
        <f t="shared" si="37"/>
        <v>1</v>
      </c>
      <c r="L210" s="958"/>
      <c r="M210" s="53">
        <f t="shared" si="38"/>
        <v>1</v>
      </c>
      <c r="N210" s="958"/>
      <c r="O210" s="53">
        <f t="shared" si="39"/>
        <v>1</v>
      </c>
      <c r="P210" s="958"/>
      <c r="Q210" s="53">
        <f t="shared" si="40"/>
        <v>1</v>
      </c>
      <c r="R210" s="488">
        <f t="shared" si="41"/>
        <v>0</v>
      </c>
      <c r="S210" s="795">
        <f t="shared" si="42"/>
        <v>0</v>
      </c>
    </row>
    <row r="211" spans="1:19">
      <c r="A211" s="960"/>
      <c r="B211" s="137"/>
      <c r="C211" s="53">
        <f t="shared" si="33"/>
        <v>1</v>
      </c>
      <c r="D211" s="958"/>
      <c r="E211" s="53">
        <f t="shared" si="34"/>
        <v>1</v>
      </c>
      <c r="F211" s="958"/>
      <c r="G211" s="53">
        <f t="shared" si="35"/>
        <v>1</v>
      </c>
      <c r="H211" s="958"/>
      <c r="I211" s="53">
        <f t="shared" si="36"/>
        <v>1</v>
      </c>
      <c r="J211" s="958"/>
      <c r="K211" s="53">
        <f t="shared" si="37"/>
        <v>1</v>
      </c>
      <c r="L211" s="958"/>
      <c r="M211" s="53">
        <f t="shared" si="38"/>
        <v>1</v>
      </c>
      <c r="N211" s="958"/>
      <c r="O211" s="53">
        <f t="shared" si="39"/>
        <v>1</v>
      </c>
      <c r="P211" s="958"/>
      <c r="Q211" s="53">
        <f t="shared" si="40"/>
        <v>1</v>
      </c>
      <c r="R211" s="488">
        <f t="shared" si="41"/>
        <v>0</v>
      </c>
      <c r="S211" s="795">
        <f t="shared" si="42"/>
        <v>0</v>
      </c>
    </row>
    <row r="212" spans="1:19">
      <c r="A212" s="960"/>
      <c r="B212" s="137"/>
      <c r="C212" s="53">
        <f t="shared" si="33"/>
        <v>1</v>
      </c>
      <c r="D212" s="958"/>
      <c r="E212" s="53">
        <f t="shared" si="34"/>
        <v>1</v>
      </c>
      <c r="F212" s="958"/>
      <c r="G212" s="53">
        <f t="shared" si="35"/>
        <v>1</v>
      </c>
      <c r="H212" s="958"/>
      <c r="I212" s="53">
        <f t="shared" si="36"/>
        <v>1</v>
      </c>
      <c r="J212" s="958"/>
      <c r="K212" s="53">
        <f t="shared" si="37"/>
        <v>1</v>
      </c>
      <c r="L212" s="958"/>
      <c r="M212" s="53">
        <f t="shared" si="38"/>
        <v>1</v>
      </c>
      <c r="N212" s="958"/>
      <c r="O212" s="53">
        <f t="shared" si="39"/>
        <v>1</v>
      </c>
      <c r="P212" s="958"/>
      <c r="Q212" s="53">
        <f t="shared" si="40"/>
        <v>1</v>
      </c>
      <c r="R212" s="488">
        <f t="shared" si="41"/>
        <v>0</v>
      </c>
      <c r="S212" s="795">
        <f t="shared" si="42"/>
        <v>0</v>
      </c>
    </row>
    <row r="213" spans="1:19">
      <c r="A213" s="960"/>
      <c r="B213" s="137"/>
      <c r="C213" s="53">
        <f t="shared" si="33"/>
        <v>1</v>
      </c>
      <c r="D213" s="958"/>
      <c r="E213" s="53">
        <f t="shared" si="34"/>
        <v>1</v>
      </c>
      <c r="F213" s="958"/>
      <c r="G213" s="53">
        <f t="shared" si="35"/>
        <v>1</v>
      </c>
      <c r="H213" s="958"/>
      <c r="I213" s="53">
        <f t="shared" si="36"/>
        <v>1</v>
      </c>
      <c r="J213" s="958"/>
      <c r="K213" s="53">
        <f t="shared" si="37"/>
        <v>1</v>
      </c>
      <c r="L213" s="958"/>
      <c r="M213" s="53">
        <f t="shared" si="38"/>
        <v>1</v>
      </c>
      <c r="N213" s="958"/>
      <c r="O213" s="53">
        <f t="shared" si="39"/>
        <v>1</v>
      </c>
      <c r="P213" s="958"/>
      <c r="Q213" s="53">
        <f t="shared" si="40"/>
        <v>1</v>
      </c>
      <c r="R213" s="488">
        <f t="shared" si="41"/>
        <v>0</v>
      </c>
      <c r="S213" s="795">
        <f t="shared" si="42"/>
        <v>0</v>
      </c>
    </row>
    <row r="214" spans="1:19">
      <c r="A214" s="960"/>
      <c r="B214" s="137"/>
      <c r="C214" s="53">
        <f t="shared" si="33"/>
        <v>1</v>
      </c>
      <c r="D214" s="958"/>
      <c r="E214" s="53">
        <f t="shared" si="34"/>
        <v>1</v>
      </c>
      <c r="F214" s="958"/>
      <c r="G214" s="53">
        <f t="shared" si="35"/>
        <v>1</v>
      </c>
      <c r="H214" s="958"/>
      <c r="I214" s="53">
        <f t="shared" si="36"/>
        <v>1</v>
      </c>
      <c r="J214" s="958"/>
      <c r="K214" s="53">
        <f t="shared" si="37"/>
        <v>1</v>
      </c>
      <c r="L214" s="958"/>
      <c r="M214" s="53">
        <f t="shared" si="38"/>
        <v>1</v>
      </c>
      <c r="N214" s="958"/>
      <c r="O214" s="53">
        <f t="shared" si="39"/>
        <v>1</v>
      </c>
      <c r="P214" s="958"/>
      <c r="Q214" s="53">
        <f t="shared" si="40"/>
        <v>1</v>
      </c>
      <c r="R214" s="488">
        <f t="shared" si="41"/>
        <v>0</v>
      </c>
      <c r="S214" s="795">
        <f t="shared" si="42"/>
        <v>0</v>
      </c>
    </row>
    <row r="215" spans="1:19">
      <c r="A215" s="960"/>
      <c r="B215" s="137"/>
      <c r="C215" s="53">
        <f t="shared" si="33"/>
        <v>1</v>
      </c>
      <c r="D215" s="958"/>
      <c r="E215" s="53">
        <f t="shared" si="34"/>
        <v>1</v>
      </c>
      <c r="F215" s="958"/>
      <c r="G215" s="53">
        <f t="shared" si="35"/>
        <v>1</v>
      </c>
      <c r="H215" s="958"/>
      <c r="I215" s="53">
        <f t="shared" si="36"/>
        <v>1</v>
      </c>
      <c r="J215" s="958"/>
      <c r="K215" s="53">
        <f t="shared" si="37"/>
        <v>1</v>
      </c>
      <c r="L215" s="958"/>
      <c r="M215" s="53">
        <f t="shared" si="38"/>
        <v>1</v>
      </c>
      <c r="N215" s="958"/>
      <c r="O215" s="53">
        <f t="shared" si="39"/>
        <v>1</v>
      </c>
      <c r="P215" s="958"/>
      <c r="Q215" s="53">
        <f t="shared" si="40"/>
        <v>1</v>
      </c>
      <c r="R215" s="488">
        <f t="shared" si="41"/>
        <v>0</v>
      </c>
      <c r="S215" s="795">
        <f t="shared" si="42"/>
        <v>0</v>
      </c>
    </row>
    <row r="216" spans="1:19">
      <c r="A216" s="960"/>
      <c r="B216" s="137"/>
      <c r="C216" s="53">
        <f t="shared" si="33"/>
        <v>1</v>
      </c>
      <c r="D216" s="958"/>
      <c r="E216" s="53">
        <f t="shared" si="34"/>
        <v>1</v>
      </c>
      <c r="F216" s="958"/>
      <c r="G216" s="53">
        <f t="shared" si="35"/>
        <v>1</v>
      </c>
      <c r="H216" s="958"/>
      <c r="I216" s="53">
        <f t="shared" si="36"/>
        <v>1</v>
      </c>
      <c r="J216" s="958"/>
      <c r="K216" s="53">
        <f t="shared" si="37"/>
        <v>1</v>
      </c>
      <c r="L216" s="958"/>
      <c r="M216" s="53">
        <f t="shared" si="38"/>
        <v>1</v>
      </c>
      <c r="N216" s="958"/>
      <c r="O216" s="53">
        <f t="shared" si="39"/>
        <v>1</v>
      </c>
      <c r="P216" s="958"/>
      <c r="Q216" s="53">
        <f t="shared" si="40"/>
        <v>1</v>
      </c>
      <c r="R216" s="488">
        <f t="shared" si="41"/>
        <v>0</v>
      </c>
      <c r="S216" s="795">
        <f t="shared" si="42"/>
        <v>0</v>
      </c>
    </row>
    <row r="217" spans="1:19">
      <c r="A217" s="960"/>
      <c r="B217" s="137"/>
      <c r="C217" s="53">
        <f t="shared" si="33"/>
        <v>1</v>
      </c>
      <c r="D217" s="958"/>
      <c r="E217" s="53">
        <f t="shared" si="34"/>
        <v>1</v>
      </c>
      <c r="F217" s="958"/>
      <c r="G217" s="53">
        <f t="shared" si="35"/>
        <v>1</v>
      </c>
      <c r="H217" s="958"/>
      <c r="I217" s="53">
        <f t="shared" si="36"/>
        <v>1</v>
      </c>
      <c r="J217" s="958"/>
      <c r="K217" s="53">
        <f t="shared" si="37"/>
        <v>1</v>
      </c>
      <c r="L217" s="958"/>
      <c r="M217" s="53">
        <f t="shared" si="38"/>
        <v>1</v>
      </c>
      <c r="N217" s="958"/>
      <c r="O217" s="53">
        <f t="shared" si="39"/>
        <v>1</v>
      </c>
      <c r="P217" s="958"/>
      <c r="Q217" s="53">
        <f t="shared" si="40"/>
        <v>1</v>
      </c>
      <c r="R217" s="488">
        <f t="shared" si="41"/>
        <v>0</v>
      </c>
      <c r="S217" s="795">
        <f t="shared" si="42"/>
        <v>0</v>
      </c>
    </row>
    <row r="218" spans="1:19">
      <c r="A218" s="960"/>
      <c r="B218" s="137"/>
      <c r="C218" s="53">
        <f t="shared" ref="C218:C281" si="43">IF(B218="",1,(LOOKUP(B218,$3:$3,$4:$4)-LOOKUP($B$24,$3:$3,$4:$4)+100)/100)</f>
        <v>1</v>
      </c>
      <c r="D218" s="958"/>
      <c r="E218" s="53">
        <f t="shared" ref="E218:E281" si="44">(SUMIF($5:$5,D218,$6:$6)-SUMIF($5:$5,$D$24,$6:$6)+100)/100</f>
        <v>1</v>
      </c>
      <c r="F218" s="958"/>
      <c r="G218" s="53">
        <f t="shared" ref="G218:G281" si="45">(SUMIF($7:$7,F218,$8:$8)-SUMIF($7:$7,$F$24,$8:$8)+100)/100</f>
        <v>1</v>
      </c>
      <c r="H218" s="958"/>
      <c r="I218" s="53">
        <f t="shared" ref="I218:I281" si="46">(SUMIF($9:$9,H218,$10:$10)-SUMIF($9:$9,$H$24,$10:$10)+100)/100</f>
        <v>1</v>
      </c>
      <c r="J218" s="958"/>
      <c r="K218" s="53">
        <f t="shared" ref="K218:K281" si="47">(SUMIF($11:$11,J218,$12:$12)-SUMIF($11:$11,$J$24,$12:$12)+100)/100</f>
        <v>1</v>
      </c>
      <c r="L218" s="958"/>
      <c r="M218" s="53">
        <f t="shared" ref="M218:M281" si="48">(SUMIF($13:$13,L218,$14:$14)-SUMIF($13:$13,$L$24,$14:$14)+100)/100</f>
        <v>1</v>
      </c>
      <c r="N218" s="958"/>
      <c r="O218" s="53">
        <f t="shared" ref="O218:O281" si="49">(SUMIF($15:$15,N218,$16:$16)-SUMIF($15:$15,$N$24,$16:$16)+100)/100</f>
        <v>1</v>
      </c>
      <c r="P218" s="958"/>
      <c r="Q218" s="53">
        <f t="shared" ref="Q218:Q281" si="50">(SUMIF($17:$17,P218,$18:$18)-SUMIF($17:$17,$P$24,$18:$18)+100)/100</f>
        <v>1</v>
      </c>
      <c r="R218" s="488">
        <f t="shared" ref="R218:R281" si="51">IF(B218="",0,ROUND($R$24*C218*E218*G218*I218*K218*M218*O218*Q218,0))</f>
        <v>0</v>
      </c>
      <c r="S218" s="795">
        <f t="shared" si="42"/>
        <v>0</v>
      </c>
    </row>
    <row r="219" spans="1:19">
      <c r="A219" s="960"/>
      <c r="B219" s="137"/>
      <c r="C219" s="53">
        <f t="shared" si="43"/>
        <v>1</v>
      </c>
      <c r="D219" s="958"/>
      <c r="E219" s="53">
        <f t="shared" si="44"/>
        <v>1</v>
      </c>
      <c r="F219" s="958"/>
      <c r="G219" s="53">
        <f t="shared" si="45"/>
        <v>1</v>
      </c>
      <c r="H219" s="958"/>
      <c r="I219" s="53">
        <f t="shared" si="46"/>
        <v>1</v>
      </c>
      <c r="J219" s="958"/>
      <c r="K219" s="53">
        <f t="shared" si="47"/>
        <v>1</v>
      </c>
      <c r="L219" s="958"/>
      <c r="M219" s="53">
        <f t="shared" si="48"/>
        <v>1</v>
      </c>
      <c r="N219" s="958"/>
      <c r="O219" s="53">
        <f t="shared" si="49"/>
        <v>1</v>
      </c>
      <c r="P219" s="958"/>
      <c r="Q219" s="53">
        <f t="shared" si="50"/>
        <v>1</v>
      </c>
      <c r="R219" s="488">
        <f t="shared" si="51"/>
        <v>0</v>
      </c>
      <c r="S219" s="795">
        <f t="shared" si="42"/>
        <v>0</v>
      </c>
    </row>
    <row r="220" spans="1:19">
      <c r="A220" s="960"/>
      <c r="B220" s="137"/>
      <c r="C220" s="53">
        <f t="shared" si="43"/>
        <v>1</v>
      </c>
      <c r="D220" s="958"/>
      <c r="E220" s="53">
        <f t="shared" si="44"/>
        <v>1</v>
      </c>
      <c r="F220" s="958"/>
      <c r="G220" s="53">
        <f t="shared" si="45"/>
        <v>1</v>
      </c>
      <c r="H220" s="958"/>
      <c r="I220" s="53">
        <f t="shared" si="46"/>
        <v>1</v>
      </c>
      <c r="J220" s="958"/>
      <c r="K220" s="53">
        <f t="shared" si="47"/>
        <v>1</v>
      </c>
      <c r="L220" s="958"/>
      <c r="M220" s="53">
        <f t="shared" si="48"/>
        <v>1</v>
      </c>
      <c r="N220" s="958"/>
      <c r="O220" s="53">
        <f t="shared" si="49"/>
        <v>1</v>
      </c>
      <c r="P220" s="958"/>
      <c r="Q220" s="53">
        <f t="shared" si="50"/>
        <v>1</v>
      </c>
      <c r="R220" s="488">
        <f t="shared" si="51"/>
        <v>0</v>
      </c>
      <c r="S220" s="795">
        <f t="shared" si="42"/>
        <v>0</v>
      </c>
    </row>
    <row r="221" spans="1:19">
      <c r="A221" s="960"/>
      <c r="B221" s="137"/>
      <c r="C221" s="53">
        <f t="shared" si="43"/>
        <v>1</v>
      </c>
      <c r="D221" s="958"/>
      <c r="E221" s="53">
        <f t="shared" si="44"/>
        <v>1</v>
      </c>
      <c r="F221" s="958"/>
      <c r="G221" s="53">
        <f t="shared" si="45"/>
        <v>1</v>
      </c>
      <c r="H221" s="958"/>
      <c r="I221" s="53">
        <f t="shared" si="46"/>
        <v>1</v>
      </c>
      <c r="J221" s="958"/>
      <c r="K221" s="53">
        <f t="shared" si="47"/>
        <v>1</v>
      </c>
      <c r="L221" s="958"/>
      <c r="M221" s="53">
        <f t="shared" si="48"/>
        <v>1</v>
      </c>
      <c r="N221" s="958"/>
      <c r="O221" s="53">
        <f t="shared" si="49"/>
        <v>1</v>
      </c>
      <c r="P221" s="958"/>
      <c r="Q221" s="53">
        <f t="shared" si="50"/>
        <v>1</v>
      </c>
      <c r="R221" s="488">
        <f t="shared" si="51"/>
        <v>0</v>
      </c>
      <c r="S221" s="795">
        <f t="shared" si="42"/>
        <v>0</v>
      </c>
    </row>
    <row r="222" spans="1:19">
      <c r="A222" s="960"/>
      <c r="B222" s="137"/>
      <c r="C222" s="53">
        <f t="shared" si="43"/>
        <v>1</v>
      </c>
      <c r="D222" s="958"/>
      <c r="E222" s="53">
        <f t="shared" si="44"/>
        <v>1</v>
      </c>
      <c r="F222" s="958"/>
      <c r="G222" s="53">
        <f t="shared" si="45"/>
        <v>1</v>
      </c>
      <c r="H222" s="958"/>
      <c r="I222" s="53">
        <f t="shared" si="46"/>
        <v>1</v>
      </c>
      <c r="J222" s="958"/>
      <c r="K222" s="53">
        <f t="shared" si="47"/>
        <v>1</v>
      </c>
      <c r="L222" s="958"/>
      <c r="M222" s="53">
        <f t="shared" si="48"/>
        <v>1</v>
      </c>
      <c r="N222" s="958"/>
      <c r="O222" s="53">
        <f t="shared" si="49"/>
        <v>1</v>
      </c>
      <c r="P222" s="958"/>
      <c r="Q222" s="53">
        <f t="shared" si="50"/>
        <v>1</v>
      </c>
      <c r="R222" s="488">
        <f t="shared" si="51"/>
        <v>0</v>
      </c>
      <c r="S222" s="795">
        <f t="shared" si="42"/>
        <v>0</v>
      </c>
    </row>
    <row r="223" spans="1:19">
      <c r="A223" s="960"/>
      <c r="B223" s="137"/>
      <c r="C223" s="53">
        <f t="shared" si="43"/>
        <v>1</v>
      </c>
      <c r="D223" s="958"/>
      <c r="E223" s="53">
        <f t="shared" si="44"/>
        <v>1</v>
      </c>
      <c r="F223" s="958"/>
      <c r="G223" s="53">
        <f t="shared" si="45"/>
        <v>1</v>
      </c>
      <c r="H223" s="958"/>
      <c r="I223" s="53">
        <f t="shared" si="46"/>
        <v>1</v>
      </c>
      <c r="J223" s="958"/>
      <c r="K223" s="53">
        <f t="shared" si="47"/>
        <v>1</v>
      </c>
      <c r="L223" s="958"/>
      <c r="M223" s="53">
        <f t="shared" si="48"/>
        <v>1</v>
      </c>
      <c r="N223" s="958"/>
      <c r="O223" s="53">
        <f t="shared" si="49"/>
        <v>1</v>
      </c>
      <c r="P223" s="958"/>
      <c r="Q223" s="53">
        <f t="shared" si="50"/>
        <v>1</v>
      </c>
      <c r="R223" s="488">
        <f t="shared" si="51"/>
        <v>0</v>
      </c>
      <c r="S223" s="795">
        <f t="shared" ref="S223:S286" si="52">ROUND(R223*B223/10000,0)</f>
        <v>0</v>
      </c>
    </row>
    <row r="224" spans="1:19">
      <c r="A224" s="960"/>
      <c r="B224" s="137"/>
      <c r="C224" s="53">
        <f t="shared" si="43"/>
        <v>1</v>
      </c>
      <c r="D224" s="958"/>
      <c r="E224" s="53">
        <f t="shared" si="44"/>
        <v>1</v>
      </c>
      <c r="F224" s="958"/>
      <c r="G224" s="53">
        <f t="shared" si="45"/>
        <v>1</v>
      </c>
      <c r="H224" s="958"/>
      <c r="I224" s="53">
        <f t="shared" si="46"/>
        <v>1</v>
      </c>
      <c r="J224" s="958"/>
      <c r="K224" s="53">
        <f t="shared" si="47"/>
        <v>1</v>
      </c>
      <c r="L224" s="958"/>
      <c r="M224" s="53">
        <f t="shared" si="48"/>
        <v>1</v>
      </c>
      <c r="N224" s="958"/>
      <c r="O224" s="53">
        <f t="shared" si="49"/>
        <v>1</v>
      </c>
      <c r="P224" s="958"/>
      <c r="Q224" s="53">
        <f t="shared" si="50"/>
        <v>1</v>
      </c>
      <c r="R224" s="488">
        <f t="shared" si="51"/>
        <v>0</v>
      </c>
      <c r="S224" s="795">
        <f t="shared" si="52"/>
        <v>0</v>
      </c>
    </row>
    <row r="225" spans="1:19">
      <c r="A225" s="960"/>
      <c r="B225" s="137"/>
      <c r="C225" s="53">
        <f t="shared" si="43"/>
        <v>1</v>
      </c>
      <c r="D225" s="958"/>
      <c r="E225" s="53">
        <f t="shared" si="44"/>
        <v>1</v>
      </c>
      <c r="F225" s="958"/>
      <c r="G225" s="53">
        <f t="shared" si="45"/>
        <v>1</v>
      </c>
      <c r="H225" s="958"/>
      <c r="I225" s="53">
        <f t="shared" si="46"/>
        <v>1</v>
      </c>
      <c r="J225" s="958"/>
      <c r="K225" s="53">
        <f t="shared" si="47"/>
        <v>1</v>
      </c>
      <c r="L225" s="958"/>
      <c r="M225" s="53">
        <f t="shared" si="48"/>
        <v>1</v>
      </c>
      <c r="N225" s="958"/>
      <c r="O225" s="53">
        <f t="shared" si="49"/>
        <v>1</v>
      </c>
      <c r="P225" s="958"/>
      <c r="Q225" s="53">
        <f t="shared" si="50"/>
        <v>1</v>
      </c>
      <c r="R225" s="488">
        <f t="shared" si="51"/>
        <v>0</v>
      </c>
      <c r="S225" s="795">
        <f t="shared" si="52"/>
        <v>0</v>
      </c>
    </row>
    <row r="226" spans="1:19">
      <c r="A226" s="960"/>
      <c r="B226" s="137"/>
      <c r="C226" s="53">
        <f t="shared" si="43"/>
        <v>1</v>
      </c>
      <c r="D226" s="958"/>
      <c r="E226" s="53">
        <f t="shared" si="44"/>
        <v>1</v>
      </c>
      <c r="F226" s="958"/>
      <c r="G226" s="53">
        <f t="shared" si="45"/>
        <v>1</v>
      </c>
      <c r="H226" s="958"/>
      <c r="I226" s="53">
        <f t="shared" si="46"/>
        <v>1</v>
      </c>
      <c r="J226" s="958"/>
      <c r="K226" s="53">
        <f t="shared" si="47"/>
        <v>1</v>
      </c>
      <c r="L226" s="958"/>
      <c r="M226" s="53">
        <f t="shared" si="48"/>
        <v>1</v>
      </c>
      <c r="N226" s="958"/>
      <c r="O226" s="53">
        <f t="shared" si="49"/>
        <v>1</v>
      </c>
      <c r="P226" s="958"/>
      <c r="Q226" s="53">
        <f t="shared" si="50"/>
        <v>1</v>
      </c>
      <c r="R226" s="488">
        <f t="shared" si="51"/>
        <v>0</v>
      </c>
      <c r="S226" s="795">
        <f t="shared" si="52"/>
        <v>0</v>
      </c>
    </row>
    <row r="227" spans="1:19">
      <c r="A227" s="960"/>
      <c r="B227" s="137"/>
      <c r="C227" s="53">
        <f t="shared" si="43"/>
        <v>1</v>
      </c>
      <c r="D227" s="958"/>
      <c r="E227" s="53">
        <f t="shared" si="44"/>
        <v>1</v>
      </c>
      <c r="F227" s="958"/>
      <c r="G227" s="53">
        <f t="shared" si="45"/>
        <v>1</v>
      </c>
      <c r="H227" s="958"/>
      <c r="I227" s="53">
        <f t="shared" si="46"/>
        <v>1</v>
      </c>
      <c r="J227" s="958"/>
      <c r="K227" s="53">
        <f t="shared" si="47"/>
        <v>1</v>
      </c>
      <c r="L227" s="958"/>
      <c r="M227" s="53">
        <f t="shared" si="48"/>
        <v>1</v>
      </c>
      <c r="N227" s="958"/>
      <c r="O227" s="53">
        <f t="shared" si="49"/>
        <v>1</v>
      </c>
      <c r="P227" s="958"/>
      <c r="Q227" s="53">
        <f t="shared" si="50"/>
        <v>1</v>
      </c>
      <c r="R227" s="488">
        <f t="shared" si="51"/>
        <v>0</v>
      </c>
      <c r="S227" s="795">
        <f t="shared" si="52"/>
        <v>0</v>
      </c>
    </row>
    <row r="228" spans="1:19">
      <c r="A228" s="960"/>
      <c r="B228" s="137"/>
      <c r="C228" s="53">
        <f t="shared" si="43"/>
        <v>1</v>
      </c>
      <c r="D228" s="958"/>
      <c r="E228" s="53">
        <f t="shared" si="44"/>
        <v>1</v>
      </c>
      <c r="F228" s="958"/>
      <c r="G228" s="53">
        <f t="shared" si="45"/>
        <v>1</v>
      </c>
      <c r="H228" s="958"/>
      <c r="I228" s="53">
        <f t="shared" si="46"/>
        <v>1</v>
      </c>
      <c r="J228" s="958"/>
      <c r="K228" s="53">
        <f t="shared" si="47"/>
        <v>1</v>
      </c>
      <c r="L228" s="958"/>
      <c r="M228" s="53">
        <f t="shared" si="48"/>
        <v>1</v>
      </c>
      <c r="N228" s="958"/>
      <c r="O228" s="53">
        <f t="shared" si="49"/>
        <v>1</v>
      </c>
      <c r="P228" s="958"/>
      <c r="Q228" s="53">
        <f t="shared" si="50"/>
        <v>1</v>
      </c>
      <c r="R228" s="488">
        <f t="shared" si="51"/>
        <v>0</v>
      </c>
      <c r="S228" s="795">
        <f t="shared" si="52"/>
        <v>0</v>
      </c>
    </row>
    <row r="229" spans="1:19">
      <c r="A229" s="960"/>
      <c r="B229" s="137"/>
      <c r="C229" s="53">
        <f t="shared" si="43"/>
        <v>1</v>
      </c>
      <c r="D229" s="958"/>
      <c r="E229" s="53">
        <f t="shared" si="44"/>
        <v>1</v>
      </c>
      <c r="F229" s="958"/>
      <c r="G229" s="53">
        <f t="shared" si="45"/>
        <v>1</v>
      </c>
      <c r="H229" s="958"/>
      <c r="I229" s="53">
        <f t="shared" si="46"/>
        <v>1</v>
      </c>
      <c r="J229" s="958"/>
      <c r="K229" s="53">
        <f t="shared" si="47"/>
        <v>1</v>
      </c>
      <c r="L229" s="958"/>
      <c r="M229" s="53">
        <f t="shared" si="48"/>
        <v>1</v>
      </c>
      <c r="N229" s="958"/>
      <c r="O229" s="53">
        <f t="shared" si="49"/>
        <v>1</v>
      </c>
      <c r="P229" s="958"/>
      <c r="Q229" s="53">
        <f t="shared" si="50"/>
        <v>1</v>
      </c>
      <c r="R229" s="488">
        <f t="shared" si="51"/>
        <v>0</v>
      </c>
      <c r="S229" s="795">
        <f t="shared" si="52"/>
        <v>0</v>
      </c>
    </row>
    <row r="230" spans="1:19">
      <c r="A230" s="960"/>
      <c r="B230" s="137"/>
      <c r="C230" s="53">
        <f t="shared" si="43"/>
        <v>1</v>
      </c>
      <c r="D230" s="958"/>
      <c r="E230" s="53">
        <f t="shared" si="44"/>
        <v>1</v>
      </c>
      <c r="F230" s="958"/>
      <c r="G230" s="53">
        <f t="shared" si="45"/>
        <v>1</v>
      </c>
      <c r="H230" s="958"/>
      <c r="I230" s="53">
        <f t="shared" si="46"/>
        <v>1</v>
      </c>
      <c r="J230" s="958"/>
      <c r="K230" s="53">
        <f t="shared" si="47"/>
        <v>1</v>
      </c>
      <c r="L230" s="958"/>
      <c r="M230" s="53">
        <f t="shared" si="48"/>
        <v>1</v>
      </c>
      <c r="N230" s="958"/>
      <c r="O230" s="53">
        <f t="shared" si="49"/>
        <v>1</v>
      </c>
      <c r="P230" s="958"/>
      <c r="Q230" s="53">
        <f t="shared" si="50"/>
        <v>1</v>
      </c>
      <c r="R230" s="488">
        <f t="shared" si="51"/>
        <v>0</v>
      </c>
      <c r="S230" s="795">
        <f t="shared" si="52"/>
        <v>0</v>
      </c>
    </row>
    <row r="231" spans="1:19">
      <c r="A231" s="960"/>
      <c r="B231" s="137"/>
      <c r="C231" s="53">
        <f t="shared" si="43"/>
        <v>1</v>
      </c>
      <c r="D231" s="958"/>
      <c r="E231" s="53">
        <f t="shared" si="44"/>
        <v>1</v>
      </c>
      <c r="F231" s="958"/>
      <c r="G231" s="53">
        <f t="shared" si="45"/>
        <v>1</v>
      </c>
      <c r="H231" s="958"/>
      <c r="I231" s="53">
        <f t="shared" si="46"/>
        <v>1</v>
      </c>
      <c r="J231" s="958"/>
      <c r="K231" s="53">
        <f t="shared" si="47"/>
        <v>1</v>
      </c>
      <c r="L231" s="958"/>
      <c r="M231" s="53">
        <f t="shared" si="48"/>
        <v>1</v>
      </c>
      <c r="N231" s="958"/>
      <c r="O231" s="53">
        <f t="shared" si="49"/>
        <v>1</v>
      </c>
      <c r="P231" s="958"/>
      <c r="Q231" s="53">
        <f t="shared" si="50"/>
        <v>1</v>
      </c>
      <c r="R231" s="488">
        <f t="shared" si="51"/>
        <v>0</v>
      </c>
      <c r="S231" s="795">
        <f t="shared" si="52"/>
        <v>0</v>
      </c>
    </row>
    <row r="232" spans="1:19">
      <c r="A232" s="960"/>
      <c r="B232" s="137"/>
      <c r="C232" s="53">
        <f t="shared" si="43"/>
        <v>1</v>
      </c>
      <c r="D232" s="958"/>
      <c r="E232" s="53">
        <f t="shared" si="44"/>
        <v>1</v>
      </c>
      <c r="F232" s="958"/>
      <c r="G232" s="53">
        <f t="shared" si="45"/>
        <v>1</v>
      </c>
      <c r="H232" s="958"/>
      <c r="I232" s="53">
        <f t="shared" si="46"/>
        <v>1</v>
      </c>
      <c r="J232" s="958"/>
      <c r="K232" s="53">
        <f t="shared" si="47"/>
        <v>1</v>
      </c>
      <c r="L232" s="958"/>
      <c r="M232" s="53">
        <f t="shared" si="48"/>
        <v>1</v>
      </c>
      <c r="N232" s="958"/>
      <c r="O232" s="53">
        <f t="shared" si="49"/>
        <v>1</v>
      </c>
      <c r="P232" s="958"/>
      <c r="Q232" s="53">
        <f t="shared" si="50"/>
        <v>1</v>
      </c>
      <c r="R232" s="488">
        <f t="shared" si="51"/>
        <v>0</v>
      </c>
      <c r="S232" s="795">
        <f t="shared" si="52"/>
        <v>0</v>
      </c>
    </row>
    <row r="233" spans="1:19">
      <c r="A233" s="960"/>
      <c r="B233" s="137"/>
      <c r="C233" s="53">
        <f t="shared" si="43"/>
        <v>1</v>
      </c>
      <c r="D233" s="958"/>
      <c r="E233" s="53">
        <f t="shared" si="44"/>
        <v>1</v>
      </c>
      <c r="F233" s="958"/>
      <c r="G233" s="53">
        <f t="shared" si="45"/>
        <v>1</v>
      </c>
      <c r="H233" s="958"/>
      <c r="I233" s="53">
        <f t="shared" si="46"/>
        <v>1</v>
      </c>
      <c r="J233" s="958"/>
      <c r="K233" s="53">
        <f t="shared" si="47"/>
        <v>1</v>
      </c>
      <c r="L233" s="958"/>
      <c r="M233" s="53">
        <f t="shared" si="48"/>
        <v>1</v>
      </c>
      <c r="N233" s="958"/>
      <c r="O233" s="53">
        <f t="shared" si="49"/>
        <v>1</v>
      </c>
      <c r="P233" s="958"/>
      <c r="Q233" s="53">
        <f t="shared" si="50"/>
        <v>1</v>
      </c>
      <c r="R233" s="488">
        <f t="shared" si="51"/>
        <v>0</v>
      </c>
      <c r="S233" s="795">
        <f t="shared" si="52"/>
        <v>0</v>
      </c>
    </row>
    <row r="234" spans="1:19">
      <c r="A234" s="960"/>
      <c r="B234" s="137"/>
      <c r="C234" s="53">
        <f t="shared" si="43"/>
        <v>1</v>
      </c>
      <c r="D234" s="958"/>
      <c r="E234" s="53">
        <f t="shared" si="44"/>
        <v>1</v>
      </c>
      <c r="F234" s="958"/>
      <c r="G234" s="53">
        <f t="shared" si="45"/>
        <v>1</v>
      </c>
      <c r="H234" s="958"/>
      <c r="I234" s="53">
        <f t="shared" si="46"/>
        <v>1</v>
      </c>
      <c r="J234" s="958"/>
      <c r="K234" s="53">
        <f t="shared" si="47"/>
        <v>1</v>
      </c>
      <c r="L234" s="958"/>
      <c r="M234" s="53">
        <f t="shared" si="48"/>
        <v>1</v>
      </c>
      <c r="N234" s="958"/>
      <c r="O234" s="53">
        <f t="shared" si="49"/>
        <v>1</v>
      </c>
      <c r="P234" s="958"/>
      <c r="Q234" s="53">
        <f t="shared" si="50"/>
        <v>1</v>
      </c>
      <c r="R234" s="488">
        <f t="shared" si="51"/>
        <v>0</v>
      </c>
      <c r="S234" s="795">
        <f t="shared" si="52"/>
        <v>0</v>
      </c>
    </row>
    <row r="235" spans="1:19">
      <c r="A235" s="960"/>
      <c r="B235" s="137"/>
      <c r="C235" s="53">
        <f t="shared" si="43"/>
        <v>1</v>
      </c>
      <c r="D235" s="958"/>
      <c r="E235" s="53">
        <f t="shared" si="44"/>
        <v>1</v>
      </c>
      <c r="F235" s="958"/>
      <c r="G235" s="53">
        <f t="shared" si="45"/>
        <v>1</v>
      </c>
      <c r="H235" s="958"/>
      <c r="I235" s="53">
        <f t="shared" si="46"/>
        <v>1</v>
      </c>
      <c r="J235" s="958"/>
      <c r="K235" s="53">
        <f t="shared" si="47"/>
        <v>1</v>
      </c>
      <c r="L235" s="958"/>
      <c r="M235" s="53">
        <f t="shared" si="48"/>
        <v>1</v>
      </c>
      <c r="N235" s="958"/>
      <c r="O235" s="53">
        <f t="shared" si="49"/>
        <v>1</v>
      </c>
      <c r="P235" s="958"/>
      <c r="Q235" s="53">
        <f t="shared" si="50"/>
        <v>1</v>
      </c>
      <c r="R235" s="488">
        <f t="shared" si="51"/>
        <v>0</v>
      </c>
      <c r="S235" s="795">
        <f t="shared" si="52"/>
        <v>0</v>
      </c>
    </row>
    <row r="236" spans="1:19">
      <c r="A236" s="960"/>
      <c r="B236" s="137"/>
      <c r="C236" s="53">
        <f t="shared" si="43"/>
        <v>1</v>
      </c>
      <c r="D236" s="958"/>
      <c r="E236" s="53">
        <f t="shared" si="44"/>
        <v>1</v>
      </c>
      <c r="F236" s="958"/>
      <c r="G236" s="53">
        <f t="shared" si="45"/>
        <v>1</v>
      </c>
      <c r="H236" s="958"/>
      <c r="I236" s="53">
        <f t="shared" si="46"/>
        <v>1</v>
      </c>
      <c r="J236" s="958"/>
      <c r="K236" s="53">
        <f t="shared" si="47"/>
        <v>1</v>
      </c>
      <c r="L236" s="958"/>
      <c r="M236" s="53">
        <f t="shared" si="48"/>
        <v>1</v>
      </c>
      <c r="N236" s="958"/>
      <c r="O236" s="53">
        <f t="shared" si="49"/>
        <v>1</v>
      </c>
      <c r="P236" s="958"/>
      <c r="Q236" s="53">
        <f t="shared" si="50"/>
        <v>1</v>
      </c>
      <c r="R236" s="488">
        <f t="shared" si="51"/>
        <v>0</v>
      </c>
      <c r="S236" s="795">
        <f t="shared" si="52"/>
        <v>0</v>
      </c>
    </row>
    <row r="237" spans="1:19">
      <c r="A237" s="960"/>
      <c r="B237" s="137"/>
      <c r="C237" s="53">
        <f t="shared" si="43"/>
        <v>1</v>
      </c>
      <c r="D237" s="958"/>
      <c r="E237" s="53">
        <f t="shared" si="44"/>
        <v>1</v>
      </c>
      <c r="F237" s="958"/>
      <c r="G237" s="53">
        <f t="shared" si="45"/>
        <v>1</v>
      </c>
      <c r="H237" s="958"/>
      <c r="I237" s="53">
        <f t="shared" si="46"/>
        <v>1</v>
      </c>
      <c r="J237" s="958"/>
      <c r="K237" s="53">
        <f t="shared" si="47"/>
        <v>1</v>
      </c>
      <c r="L237" s="958"/>
      <c r="M237" s="53">
        <f t="shared" si="48"/>
        <v>1</v>
      </c>
      <c r="N237" s="958"/>
      <c r="O237" s="53">
        <f t="shared" si="49"/>
        <v>1</v>
      </c>
      <c r="P237" s="958"/>
      <c r="Q237" s="53">
        <f t="shared" si="50"/>
        <v>1</v>
      </c>
      <c r="R237" s="488">
        <f t="shared" si="51"/>
        <v>0</v>
      </c>
      <c r="S237" s="795">
        <f t="shared" si="52"/>
        <v>0</v>
      </c>
    </row>
    <row r="238" spans="1:19">
      <c r="A238" s="960"/>
      <c r="B238" s="137"/>
      <c r="C238" s="53">
        <f t="shared" si="43"/>
        <v>1</v>
      </c>
      <c r="D238" s="958"/>
      <c r="E238" s="53">
        <f t="shared" si="44"/>
        <v>1</v>
      </c>
      <c r="F238" s="958"/>
      <c r="G238" s="53">
        <f t="shared" si="45"/>
        <v>1</v>
      </c>
      <c r="H238" s="958"/>
      <c r="I238" s="53">
        <f t="shared" si="46"/>
        <v>1</v>
      </c>
      <c r="J238" s="958"/>
      <c r="K238" s="53">
        <f t="shared" si="47"/>
        <v>1</v>
      </c>
      <c r="L238" s="958"/>
      <c r="M238" s="53">
        <f t="shared" si="48"/>
        <v>1</v>
      </c>
      <c r="N238" s="958"/>
      <c r="O238" s="53">
        <f t="shared" si="49"/>
        <v>1</v>
      </c>
      <c r="P238" s="958"/>
      <c r="Q238" s="53">
        <f t="shared" si="50"/>
        <v>1</v>
      </c>
      <c r="R238" s="488">
        <f t="shared" si="51"/>
        <v>0</v>
      </c>
      <c r="S238" s="795">
        <f t="shared" si="52"/>
        <v>0</v>
      </c>
    </row>
    <row r="239" spans="1:19">
      <c r="A239" s="960"/>
      <c r="B239" s="137"/>
      <c r="C239" s="53">
        <f t="shared" si="43"/>
        <v>1</v>
      </c>
      <c r="D239" s="958"/>
      <c r="E239" s="53">
        <f t="shared" si="44"/>
        <v>1</v>
      </c>
      <c r="F239" s="958"/>
      <c r="G239" s="53">
        <f t="shared" si="45"/>
        <v>1</v>
      </c>
      <c r="H239" s="958"/>
      <c r="I239" s="53">
        <f t="shared" si="46"/>
        <v>1</v>
      </c>
      <c r="J239" s="958"/>
      <c r="K239" s="53">
        <f t="shared" si="47"/>
        <v>1</v>
      </c>
      <c r="L239" s="958"/>
      <c r="M239" s="53">
        <f t="shared" si="48"/>
        <v>1</v>
      </c>
      <c r="N239" s="958"/>
      <c r="O239" s="53">
        <f t="shared" si="49"/>
        <v>1</v>
      </c>
      <c r="P239" s="958"/>
      <c r="Q239" s="53">
        <f t="shared" si="50"/>
        <v>1</v>
      </c>
      <c r="R239" s="488">
        <f t="shared" si="51"/>
        <v>0</v>
      </c>
      <c r="S239" s="795">
        <f t="shared" si="52"/>
        <v>0</v>
      </c>
    </row>
    <row r="240" spans="1:19">
      <c r="A240" s="960"/>
      <c r="B240" s="137"/>
      <c r="C240" s="53">
        <f t="shared" si="43"/>
        <v>1</v>
      </c>
      <c r="D240" s="958"/>
      <c r="E240" s="53">
        <f t="shared" si="44"/>
        <v>1</v>
      </c>
      <c r="F240" s="958"/>
      <c r="G240" s="53">
        <f t="shared" si="45"/>
        <v>1</v>
      </c>
      <c r="H240" s="958"/>
      <c r="I240" s="53">
        <f t="shared" si="46"/>
        <v>1</v>
      </c>
      <c r="J240" s="958"/>
      <c r="K240" s="53">
        <f t="shared" si="47"/>
        <v>1</v>
      </c>
      <c r="L240" s="958"/>
      <c r="M240" s="53">
        <f t="shared" si="48"/>
        <v>1</v>
      </c>
      <c r="N240" s="958"/>
      <c r="O240" s="53">
        <f t="shared" si="49"/>
        <v>1</v>
      </c>
      <c r="P240" s="958"/>
      <c r="Q240" s="53">
        <f t="shared" si="50"/>
        <v>1</v>
      </c>
      <c r="R240" s="488">
        <f t="shared" si="51"/>
        <v>0</v>
      </c>
      <c r="S240" s="795">
        <f t="shared" si="52"/>
        <v>0</v>
      </c>
    </row>
    <row r="241" spans="1:19">
      <c r="A241" s="960"/>
      <c r="B241" s="137"/>
      <c r="C241" s="53">
        <f t="shared" si="43"/>
        <v>1</v>
      </c>
      <c r="D241" s="958"/>
      <c r="E241" s="53">
        <f t="shared" si="44"/>
        <v>1</v>
      </c>
      <c r="F241" s="958"/>
      <c r="G241" s="53">
        <f t="shared" si="45"/>
        <v>1</v>
      </c>
      <c r="H241" s="958"/>
      <c r="I241" s="53">
        <f t="shared" si="46"/>
        <v>1</v>
      </c>
      <c r="J241" s="958"/>
      <c r="K241" s="53">
        <f t="shared" si="47"/>
        <v>1</v>
      </c>
      <c r="L241" s="958"/>
      <c r="M241" s="53">
        <f t="shared" si="48"/>
        <v>1</v>
      </c>
      <c r="N241" s="958"/>
      <c r="O241" s="53">
        <f t="shared" si="49"/>
        <v>1</v>
      </c>
      <c r="P241" s="958"/>
      <c r="Q241" s="53">
        <f t="shared" si="50"/>
        <v>1</v>
      </c>
      <c r="R241" s="488">
        <f t="shared" si="51"/>
        <v>0</v>
      </c>
      <c r="S241" s="795">
        <f t="shared" si="52"/>
        <v>0</v>
      </c>
    </row>
    <row r="242" spans="1:19">
      <c r="A242" s="960"/>
      <c r="B242" s="137"/>
      <c r="C242" s="53">
        <f t="shared" si="43"/>
        <v>1</v>
      </c>
      <c r="D242" s="958"/>
      <c r="E242" s="53">
        <f t="shared" si="44"/>
        <v>1</v>
      </c>
      <c r="F242" s="958"/>
      <c r="G242" s="53">
        <f t="shared" si="45"/>
        <v>1</v>
      </c>
      <c r="H242" s="958"/>
      <c r="I242" s="53">
        <f t="shared" si="46"/>
        <v>1</v>
      </c>
      <c r="J242" s="958"/>
      <c r="K242" s="53">
        <f t="shared" si="47"/>
        <v>1</v>
      </c>
      <c r="L242" s="958"/>
      <c r="M242" s="53">
        <f t="shared" si="48"/>
        <v>1</v>
      </c>
      <c r="N242" s="958"/>
      <c r="O242" s="53">
        <f t="shared" si="49"/>
        <v>1</v>
      </c>
      <c r="P242" s="958"/>
      <c r="Q242" s="53">
        <f t="shared" si="50"/>
        <v>1</v>
      </c>
      <c r="R242" s="488">
        <f t="shared" si="51"/>
        <v>0</v>
      </c>
      <c r="S242" s="795">
        <f t="shared" si="52"/>
        <v>0</v>
      </c>
    </row>
    <row r="243" spans="1:19">
      <c r="A243" s="960"/>
      <c r="B243" s="137"/>
      <c r="C243" s="53">
        <f t="shared" si="43"/>
        <v>1</v>
      </c>
      <c r="D243" s="958"/>
      <c r="E243" s="53">
        <f t="shared" si="44"/>
        <v>1</v>
      </c>
      <c r="F243" s="958"/>
      <c r="G243" s="53">
        <f t="shared" si="45"/>
        <v>1</v>
      </c>
      <c r="H243" s="958"/>
      <c r="I243" s="53">
        <f t="shared" si="46"/>
        <v>1</v>
      </c>
      <c r="J243" s="958"/>
      <c r="K243" s="53">
        <f t="shared" si="47"/>
        <v>1</v>
      </c>
      <c r="L243" s="958"/>
      <c r="M243" s="53">
        <f t="shared" si="48"/>
        <v>1</v>
      </c>
      <c r="N243" s="958"/>
      <c r="O243" s="53">
        <f t="shared" si="49"/>
        <v>1</v>
      </c>
      <c r="P243" s="958"/>
      <c r="Q243" s="53">
        <f t="shared" si="50"/>
        <v>1</v>
      </c>
      <c r="R243" s="488">
        <f t="shared" si="51"/>
        <v>0</v>
      </c>
      <c r="S243" s="795">
        <f t="shared" si="52"/>
        <v>0</v>
      </c>
    </row>
    <row r="244" spans="1:19">
      <c r="A244" s="960"/>
      <c r="B244" s="137"/>
      <c r="C244" s="53">
        <f t="shared" si="43"/>
        <v>1</v>
      </c>
      <c r="D244" s="958"/>
      <c r="E244" s="53">
        <f t="shared" si="44"/>
        <v>1</v>
      </c>
      <c r="F244" s="958"/>
      <c r="G244" s="53">
        <f t="shared" si="45"/>
        <v>1</v>
      </c>
      <c r="H244" s="958"/>
      <c r="I244" s="53">
        <f t="shared" si="46"/>
        <v>1</v>
      </c>
      <c r="J244" s="958"/>
      <c r="K244" s="53">
        <f t="shared" si="47"/>
        <v>1</v>
      </c>
      <c r="L244" s="958"/>
      <c r="M244" s="53">
        <f t="shared" si="48"/>
        <v>1</v>
      </c>
      <c r="N244" s="958"/>
      <c r="O244" s="53">
        <f t="shared" si="49"/>
        <v>1</v>
      </c>
      <c r="P244" s="958"/>
      <c r="Q244" s="53">
        <f t="shared" si="50"/>
        <v>1</v>
      </c>
      <c r="R244" s="488">
        <f t="shared" si="51"/>
        <v>0</v>
      </c>
      <c r="S244" s="795">
        <f t="shared" si="52"/>
        <v>0</v>
      </c>
    </row>
    <row r="245" spans="1:19">
      <c r="A245" s="960"/>
      <c r="B245" s="137"/>
      <c r="C245" s="53">
        <f t="shared" si="43"/>
        <v>1</v>
      </c>
      <c r="D245" s="958"/>
      <c r="E245" s="53">
        <f t="shared" si="44"/>
        <v>1</v>
      </c>
      <c r="F245" s="958"/>
      <c r="G245" s="53">
        <f t="shared" si="45"/>
        <v>1</v>
      </c>
      <c r="H245" s="958"/>
      <c r="I245" s="53">
        <f t="shared" si="46"/>
        <v>1</v>
      </c>
      <c r="J245" s="958"/>
      <c r="K245" s="53">
        <f t="shared" si="47"/>
        <v>1</v>
      </c>
      <c r="L245" s="958"/>
      <c r="M245" s="53">
        <f t="shared" si="48"/>
        <v>1</v>
      </c>
      <c r="N245" s="958"/>
      <c r="O245" s="53">
        <f t="shared" si="49"/>
        <v>1</v>
      </c>
      <c r="P245" s="958"/>
      <c r="Q245" s="53">
        <f t="shared" si="50"/>
        <v>1</v>
      </c>
      <c r="R245" s="488">
        <f t="shared" si="51"/>
        <v>0</v>
      </c>
      <c r="S245" s="795">
        <f t="shared" si="52"/>
        <v>0</v>
      </c>
    </row>
    <row r="246" spans="1:19">
      <c r="A246" s="960"/>
      <c r="B246" s="137"/>
      <c r="C246" s="53">
        <f t="shared" si="43"/>
        <v>1</v>
      </c>
      <c r="D246" s="958"/>
      <c r="E246" s="53">
        <f t="shared" si="44"/>
        <v>1</v>
      </c>
      <c r="F246" s="958"/>
      <c r="G246" s="53">
        <f t="shared" si="45"/>
        <v>1</v>
      </c>
      <c r="H246" s="958"/>
      <c r="I246" s="53">
        <f t="shared" si="46"/>
        <v>1</v>
      </c>
      <c r="J246" s="958"/>
      <c r="K246" s="53">
        <f t="shared" si="47"/>
        <v>1</v>
      </c>
      <c r="L246" s="958"/>
      <c r="M246" s="53">
        <f t="shared" si="48"/>
        <v>1</v>
      </c>
      <c r="N246" s="958"/>
      <c r="O246" s="53">
        <f t="shared" si="49"/>
        <v>1</v>
      </c>
      <c r="P246" s="958"/>
      <c r="Q246" s="53">
        <f t="shared" si="50"/>
        <v>1</v>
      </c>
      <c r="R246" s="488">
        <f t="shared" si="51"/>
        <v>0</v>
      </c>
      <c r="S246" s="795">
        <f t="shared" si="52"/>
        <v>0</v>
      </c>
    </row>
    <row r="247" spans="1:19">
      <c r="A247" s="960"/>
      <c r="B247" s="137"/>
      <c r="C247" s="53">
        <f t="shared" si="43"/>
        <v>1</v>
      </c>
      <c r="D247" s="958"/>
      <c r="E247" s="53">
        <f t="shared" si="44"/>
        <v>1</v>
      </c>
      <c r="F247" s="958"/>
      <c r="G247" s="53">
        <f t="shared" si="45"/>
        <v>1</v>
      </c>
      <c r="H247" s="958"/>
      <c r="I247" s="53">
        <f t="shared" si="46"/>
        <v>1</v>
      </c>
      <c r="J247" s="958"/>
      <c r="K247" s="53">
        <f t="shared" si="47"/>
        <v>1</v>
      </c>
      <c r="L247" s="958"/>
      <c r="M247" s="53">
        <f t="shared" si="48"/>
        <v>1</v>
      </c>
      <c r="N247" s="958"/>
      <c r="O247" s="53">
        <f t="shared" si="49"/>
        <v>1</v>
      </c>
      <c r="P247" s="958"/>
      <c r="Q247" s="53">
        <f t="shared" si="50"/>
        <v>1</v>
      </c>
      <c r="R247" s="488">
        <f t="shared" si="51"/>
        <v>0</v>
      </c>
      <c r="S247" s="795">
        <f t="shared" si="52"/>
        <v>0</v>
      </c>
    </row>
    <row r="248" spans="1:19">
      <c r="A248" s="960"/>
      <c r="B248" s="137"/>
      <c r="C248" s="53">
        <f t="shared" si="43"/>
        <v>1</v>
      </c>
      <c r="D248" s="958"/>
      <c r="E248" s="53">
        <f t="shared" si="44"/>
        <v>1</v>
      </c>
      <c r="F248" s="958"/>
      <c r="G248" s="53">
        <f t="shared" si="45"/>
        <v>1</v>
      </c>
      <c r="H248" s="958"/>
      <c r="I248" s="53">
        <f t="shared" si="46"/>
        <v>1</v>
      </c>
      <c r="J248" s="958"/>
      <c r="K248" s="53">
        <f t="shared" si="47"/>
        <v>1</v>
      </c>
      <c r="L248" s="958"/>
      <c r="M248" s="53">
        <f t="shared" si="48"/>
        <v>1</v>
      </c>
      <c r="N248" s="958"/>
      <c r="O248" s="53">
        <f t="shared" si="49"/>
        <v>1</v>
      </c>
      <c r="P248" s="958"/>
      <c r="Q248" s="53">
        <f t="shared" si="50"/>
        <v>1</v>
      </c>
      <c r="R248" s="488">
        <f t="shared" si="51"/>
        <v>0</v>
      </c>
      <c r="S248" s="795">
        <f t="shared" si="52"/>
        <v>0</v>
      </c>
    </row>
    <row r="249" spans="1:19">
      <c r="A249" s="960"/>
      <c r="B249" s="137"/>
      <c r="C249" s="53">
        <f t="shared" si="43"/>
        <v>1</v>
      </c>
      <c r="D249" s="958"/>
      <c r="E249" s="53">
        <f t="shared" si="44"/>
        <v>1</v>
      </c>
      <c r="F249" s="958"/>
      <c r="G249" s="53">
        <f t="shared" si="45"/>
        <v>1</v>
      </c>
      <c r="H249" s="958"/>
      <c r="I249" s="53">
        <f t="shared" si="46"/>
        <v>1</v>
      </c>
      <c r="J249" s="958"/>
      <c r="K249" s="53">
        <f t="shared" si="47"/>
        <v>1</v>
      </c>
      <c r="L249" s="958"/>
      <c r="M249" s="53">
        <f t="shared" si="48"/>
        <v>1</v>
      </c>
      <c r="N249" s="958"/>
      <c r="O249" s="53">
        <f t="shared" si="49"/>
        <v>1</v>
      </c>
      <c r="P249" s="958"/>
      <c r="Q249" s="53">
        <f t="shared" si="50"/>
        <v>1</v>
      </c>
      <c r="R249" s="488">
        <f t="shared" si="51"/>
        <v>0</v>
      </c>
      <c r="S249" s="795">
        <f t="shared" si="52"/>
        <v>0</v>
      </c>
    </row>
    <row r="250" spans="1:19">
      <c r="A250" s="960"/>
      <c r="B250" s="137"/>
      <c r="C250" s="53">
        <f t="shared" si="43"/>
        <v>1</v>
      </c>
      <c r="D250" s="958"/>
      <c r="E250" s="53">
        <f t="shared" si="44"/>
        <v>1</v>
      </c>
      <c r="F250" s="958"/>
      <c r="G250" s="53">
        <f t="shared" si="45"/>
        <v>1</v>
      </c>
      <c r="H250" s="958"/>
      <c r="I250" s="53">
        <f t="shared" si="46"/>
        <v>1</v>
      </c>
      <c r="J250" s="958"/>
      <c r="K250" s="53">
        <f t="shared" si="47"/>
        <v>1</v>
      </c>
      <c r="L250" s="958"/>
      <c r="M250" s="53">
        <f t="shared" si="48"/>
        <v>1</v>
      </c>
      <c r="N250" s="958"/>
      <c r="O250" s="53">
        <f t="shared" si="49"/>
        <v>1</v>
      </c>
      <c r="P250" s="958"/>
      <c r="Q250" s="53">
        <f t="shared" si="50"/>
        <v>1</v>
      </c>
      <c r="R250" s="488">
        <f t="shared" si="51"/>
        <v>0</v>
      </c>
      <c r="S250" s="795">
        <f t="shared" si="52"/>
        <v>0</v>
      </c>
    </row>
    <row r="251" spans="1:19">
      <c r="A251" s="960"/>
      <c r="B251" s="137"/>
      <c r="C251" s="53">
        <f t="shared" si="43"/>
        <v>1</v>
      </c>
      <c r="D251" s="958"/>
      <c r="E251" s="53">
        <f t="shared" si="44"/>
        <v>1</v>
      </c>
      <c r="F251" s="958"/>
      <c r="G251" s="53">
        <f t="shared" si="45"/>
        <v>1</v>
      </c>
      <c r="H251" s="958"/>
      <c r="I251" s="53">
        <f t="shared" si="46"/>
        <v>1</v>
      </c>
      <c r="J251" s="958"/>
      <c r="K251" s="53">
        <f t="shared" si="47"/>
        <v>1</v>
      </c>
      <c r="L251" s="958"/>
      <c r="M251" s="53">
        <f t="shared" si="48"/>
        <v>1</v>
      </c>
      <c r="N251" s="958"/>
      <c r="O251" s="53">
        <f t="shared" si="49"/>
        <v>1</v>
      </c>
      <c r="P251" s="958"/>
      <c r="Q251" s="53">
        <f t="shared" si="50"/>
        <v>1</v>
      </c>
      <c r="R251" s="488">
        <f t="shared" si="51"/>
        <v>0</v>
      </c>
      <c r="S251" s="795">
        <f t="shared" si="52"/>
        <v>0</v>
      </c>
    </row>
    <row r="252" spans="1:19">
      <c r="A252" s="960"/>
      <c r="B252" s="137"/>
      <c r="C252" s="53">
        <f t="shared" si="43"/>
        <v>1</v>
      </c>
      <c r="D252" s="958"/>
      <c r="E252" s="53">
        <f t="shared" si="44"/>
        <v>1</v>
      </c>
      <c r="F252" s="958"/>
      <c r="G252" s="53">
        <f t="shared" si="45"/>
        <v>1</v>
      </c>
      <c r="H252" s="958"/>
      <c r="I252" s="53">
        <f t="shared" si="46"/>
        <v>1</v>
      </c>
      <c r="J252" s="958"/>
      <c r="K252" s="53">
        <f t="shared" si="47"/>
        <v>1</v>
      </c>
      <c r="L252" s="958"/>
      <c r="M252" s="53">
        <f t="shared" si="48"/>
        <v>1</v>
      </c>
      <c r="N252" s="958"/>
      <c r="O252" s="53">
        <f t="shared" si="49"/>
        <v>1</v>
      </c>
      <c r="P252" s="958"/>
      <c r="Q252" s="53">
        <f t="shared" si="50"/>
        <v>1</v>
      </c>
      <c r="R252" s="488">
        <f t="shared" si="51"/>
        <v>0</v>
      </c>
      <c r="S252" s="795">
        <f t="shared" si="52"/>
        <v>0</v>
      </c>
    </row>
    <row r="253" spans="1:19">
      <c r="A253" s="960"/>
      <c r="B253" s="137"/>
      <c r="C253" s="53">
        <f t="shared" si="43"/>
        <v>1</v>
      </c>
      <c r="D253" s="958"/>
      <c r="E253" s="53">
        <f t="shared" si="44"/>
        <v>1</v>
      </c>
      <c r="F253" s="958"/>
      <c r="G253" s="53">
        <f t="shared" si="45"/>
        <v>1</v>
      </c>
      <c r="H253" s="958"/>
      <c r="I253" s="53">
        <f t="shared" si="46"/>
        <v>1</v>
      </c>
      <c r="J253" s="958"/>
      <c r="K253" s="53">
        <f t="shared" si="47"/>
        <v>1</v>
      </c>
      <c r="L253" s="958"/>
      <c r="M253" s="53">
        <f t="shared" si="48"/>
        <v>1</v>
      </c>
      <c r="N253" s="958"/>
      <c r="O253" s="53">
        <f t="shared" si="49"/>
        <v>1</v>
      </c>
      <c r="P253" s="958"/>
      <c r="Q253" s="53">
        <f t="shared" si="50"/>
        <v>1</v>
      </c>
      <c r="R253" s="488">
        <f t="shared" si="51"/>
        <v>0</v>
      </c>
      <c r="S253" s="795">
        <f t="shared" si="52"/>
        <v>0</v>
      </c>
    </row>
    <row r="254" spans="1:19">
      <c r="A254" s="960"/>
      <c r="B254" s="137"/>
      <c r="C254" s="53">
        <f t="shared" si="43"/>
        <v>1</v>
      </c>
      <c r="D254" s="958"/>
      <c r="E254" s="53">
        <f t="shared" si="44"/>
        <v>1</v>
      </c>
      <c r="F254" s="958"/>
      <c r="G254" s="53">
        <f t="shared" si="45"/>
        <v>1</v>
      </c>
      <c r="H254" s="958"/>
      <c r="I254" s="53">
        <f t="shared" si="46"/>
        <v>1</v>
      </c>
      <c r="J254" s="958"/>
      <c r="K254" s="53">
        <f t="shared" si="47"/>
        <v>1</v>
      </c>
      <c r="L254" s="958"/>
      <c r="M254" s="53">
        <f t="shared" si="48"/>
        <v>1</v>
      </c>
      <c r="N254" s="958"/>
      <c r="O254" s="53">
        <f t="shared" si="49"/>
        <v>1</v>
      </c>
      <c r="P254" s="958"/>
      <c r="Q254" s="53">
        <f t="shared" si="50"/>
        <v>1</v>
      </c>
      <c r="R254" s="488">
        <f t="shared" si="51"/>
        <v>0</v>
      </c>
      <c r="S254" s="795">
        <f t="shared" si="52"/>
        <v>0</v>
      </c>
    </row>
    <row r="255" spans="1:19">
      <c r="A255" s="960"/>
      <c r="B255" s="137"/>
      <c r="C255" s="53">
        <f t="shared" si="43"/>
        <v>1</v>
      </c>
      <c r="D255" s="958"/>
      <c r="E255" s="53">
        <f t="shared" si="44"/>
        <v>1</v>
      </c>
      <c r="F255" s="958"/>
      <c r="G255" s="53">
        <f t="shared" si="45"/>
        <v>1</v>
      </c>
      <c r="H255" s="958"/>
      <c r="I255" s="53">
        <f t="shared" si="46"/>
        <v>1</v>
      </c>
      <c r="J255" s="958"/>
      <c r="K255" s="53">
        <f t="shared" si="47"/>
        <v>1</v>
      </c>
      <c r="L255" s="958"/>
      <c r="M255" s="53">
        <f t="shared" si="48"/>
        <v>1</v>
      </c>
      <c r="N255" s="958"/>
      <c r="O255" s="53">
        <f t="shared" si="49"/>
        <v>1</v>
      </c>
      <c r="P255" s="958"/>
      <c r="Q255" s="53">
        <f t="shared" si="50"/>
        <v>1</v>
      </c>
      <c r="R255" s="488">
        <f t="shared" si="51"/>
        <v>0</v>
      </c>
      <c r="S255" s="795">
        <f t="shared" si="52"/>
        <v>0</v>
      </c>
    </row>
    <row r="256" spans="1:19">
      <c r="A256" s="960"/>
      <c r="B256" s="137"/>
      <c r="C256" s="53">
        <f t="shared" si="43"/>
        <v>1</v>
      </c>
      <c r="D256" s="958"/>
      <c r="E256" s="53">
        <f t="shared" si="44"/>
        <v>1</v>
      </c>
      <c r="F256" s="958"/>
      <c r="G256" s="53">
        <f t="shared" si="45"/>
        <v>1</v>
      </c>
      <c r="H256" s="958"/>
      <c r="I256" s="53">
        <f t="shared" si="46"/>
        <v>1</v>
      </c>
      <c r="J256" s="958"/>
      <c r="K256" s="53">
        <f t="shared" si="47"/>
        <v>1</v>
      </c>
      <c r="L256" s="958"/>
      <c r="M256" s="53">
        <f t="shared" si="48"/>
        <v>1</v>
      </c>
      <c r="N256" s="958"/>
      <c r="O256" s="53">
        <f t="shared" si="49"/>
        <v>1</v>
      </c>
      <c r="P256" s="958"/>
      <c r="Q256" s="53">
        <f t="shared" si="50"/>
        <v>1</v>
      </c>
      <c r="R256" s="488">
        <f t="shared" si="51"/>
        <v>0</v>
      </c>
      <c r="S256" s="795">
        <f t="shared" si="52"/>
        <v>0</v>
      </c>
    </row>
    <row r="257" spans="1:19">
      <c r="A257" s="960"/>
      <c r="B257" s="137"/>
      <c r="C257" s="53">
        <f t="shared" si="43"/>
        <v>1</v>
      </c>
      <c r="D257" s="958"/>
      <c r="E257" s="53">
        <f t="shared" si="44"/>
        <v>1</v>
      </c>
      <c r="F257" s="958"/>
      <c r="G257" s="53">
        <f t="shared" si="45"/>
        <v>1</v>
      </c>
      <c r="H257" s="958"/>
      <c r="I257" s="53">
        <f t="shared" si="46"/>
        <v>1</v>
      </c>
      <c r="J257" s="958"/>
      <c r="K257" s="53">
        <f t="shared" si="47"/>
        <v>1</v>
      </c>
      <c r="L257" s="958"/>
      <c r="M257" s="53">
        <f t="shared" si="48"/>
        <v>1</v>
      </c>
      <c r="N257" s="958"/>
      <c r="O257" s="53">
        <f t="shared" si="49"/>
        <v>1</v>
      </c>
      <c r="P257" s="958"/>
      <c r="Q257" s="53">
        <f t="shared" si="50"/>
        <v>1</v>
      </c>
      <c r="R257" s="488">
        <f t="shared" si="51"/>
        <v>0</v>
      </c>
      <c r="S257" s="795">
        <f t="shared" si="52"/>
        <v>0</v>
      </c>
    </row>
    <row r="258" spans="1:19">
      <c r="A258" s="960"/>
      <c r="B258" s="137"/>
      <c r="C258" s="53">
        <f t="shared" si="43"/>
        <v>1</v>
      </c>
      <c r="D258" s="958"/>
      <c r="E258" s="53">
        <f t="shared" si="44"/>
        <v>1</v>
      </c>
      <c r="F258" s="958"/>
      <c r="G258" s="53">
        <f t="shared" si="45"/>
        <v>1</v>
      </c>
      <c r="H258" s="958"/>
      <c r="I258" s="53">
        <f t="shared" si="46"/>
        <v>1</v>
      </c>
      <c r="J258" s="958"/>
      <c r="K258" s="53">
        <f t="shared" si="47"/>
        <v>1</v>
      </c>
      <c r="L258" s="958"/>
      <c r="M258" s="53">
        <f t="shared" si="48"/>
        <v>1</v>
      </c>
      <c r="N258" s="958"/>
      <c r="O258" s="53">
        <f t="shared" si="49"/>
        <v>1</v>
      </c>
      <c r="P258" s="958"/>
      <c r="Q258" s="53">
        <f t="shared" si="50"/>
        <v>1</v>
      </c>
      <c r="R258" s="488">
        <f t="shared" si="51"/>
        <v>0</v>
      </c>
      <c r="S258" s="795">
        <f t="shared" si="52"/>
        <v>0</v>
      </c>
    </row>
    <row r="259" spans="1:19">
      <c r="A259" s="960"/>
      <c r="B259" s="137"/>
      <c r="C259" s="53">
        <f t="shared" si="43"/>
        <v>1</v>
      </c>
      <c r="D259" s="958"/>
      <c r="E259" s="53">
        <f t="shared" si="44"/>
        <v>1</v>
      </c>
      <c r="F259" s="958"/>
      <c r="G259" s="53">
        <f t="shared" si="45"/>
        <v>1</v>
      </c>
      <c r="H259" s="958"/>
      <c r="I259" s="53">
        <f t="shared" si="46"/>
        <v>1</v>
      </c>
      <c r="J259" s="958"/>
      <c r="K259" s="53">
        <f t="shared" si="47"/>
        <v>1</v>
      </c>
      <c r="L259" s="958"/>
      <c r="M259" s="53">
        <f t="shared" si="48"/>
        <v>1</v>
      </c>
      <c r="N259" s="958"/>
      <c r="O259" s="53">
        <f t="shared" si="49"/>
        <v>1</v>
      </c>
      <c r="P259" s="958"/>
      <c r="Q259" s="53">
        <f t="shared" si="50"/>
        <v>1</v>
      </c>
      <c r="R259" s="488">
        <f t="shared" si="51"/>
        <v>0</v>
      </c>
      <c r="S259" s="795">
        <f t="shared" si="52"/>
        <v>0</v>
      </c>
    </row>
    <row r="260" spans="1:19">
      <c r="A260" s="960"/>
      <c r="B260" s="137"/>
      <c r="C260" s="53">
        <f t="shared" si="43"/>
        <v>1</v>
      </c>
      <c r="D260" s="958"/>
      <c r="E260" s="53">
        <f t="shared" si="44"/>
        <v>1</v>
      </c>
      <c r="F260" s="958"/>
      <c r="G260" s="53">
        <f t="shared" si="45"/>
        <v>1</v>
      </c>
      <c r="H260" s="958"/>
      <c r="I260" s="53">
        <f t="shared" si="46"/>
        <v>1</v>
      </c>
      <c r="J260" s="958"/>
      <c r="K260" s="53">
        <f t="shared" si="47"/>
        <v>1</v>
      </c>
      <c r="L260" s="958"/>
      <c r="M260" s="53">
        <f t="shared" si="48"/>
        <v>1</v>
      </c>
      <c r="N260" s="958"/>
      <c r="O260" s="53">
        <f t="shared" si="49"/>
        <v>1</v>
      </c>
      <c r="P260" s="958"/>
      <c r="Q260" s="53">
        <f t="shared" si="50"/>
        <v>1</v>
      </c>
      <c r="R260" s="488">
        <f t="shared" si="51"/>
        <v>0</v>
      </c>
      <c r="S260" s="795">
        <f t="shared" si="52"/>
        <v>0</v>
      </c>
    </row>
    <row r="261" spans="1:19">
      <c r="A261" s="960"/>
      <c r="B261" s="137"/>
      <c r="C261" s="53">
        <f t="shared" si="43"/>
        <v>1</v>
      </c>
      <c r="D261" s="958"/>
      <c r="E261" s="53">
        <f t="shared" si="44"/>
        <v>1</v>
      </c>
      <c r="F261" s="958"/>
      <c r="G261" s="53">
        <f t="shared" si="45"/>
        <v>1</v>
      </c>
      <c r="H261" s="958"/>
      <c r="I261" s="53">
        <f t="shared" si="46"/>
        <v>1</v>
      </c>
      <c r="J261" s="958"/>
      <c r="K261" s="53">
        <f t="shared" si="47"/>
        <v>1</v>
      </c>
      <c r="L261" s="958"/>
      <c r="M261" s="53">
        <f t="shared" si="48"/>
        <v>1</v>
      </c>
      <c r="N261" s="958"/>
      <c r="O261" s="53">
        <f t="shared" si="49"/>
        <v>1</v>
      </c>
      <c r="P261" s="958"/>
      <c r="Q261" s="53">
        <f t="shared" si="50"/>
        <v>1</v>
      </c>
      <c r="R261" s="488">
        <f t="shared" si="51"/>
        <v>0</v>
      </c>
      <c r="S261" s="795">
        <f t="shared" si="52"/>
        <v>0</v>
      </c>
    </row>
    <row r="262" spans="1:19">
      <c r="A262" s="960"/>
      <c r="B262" s="137"/>
      <c r="C262" s="53">
        <f t="shared" si="43"/>
        <v>1</v>
      </c>
      <c r="D262" s="958"/>
      <c r="E262" s="53">
        <f t="shared" si="44"/>
        <v>1</v>
      </c>
      <c r="F262" s="958"/>
      <c r="G262" s="53">
        <f t="shared" si="45"/>
        <v>1</v>
      </c>
      <c r="H262" s="958"/>
      <c r="I262" s="53">
        <f t="shared" si="46"/>
        <v>1</v>
      </c>
      <c r="J262" s="958"/>
      <c r="K262" s="53">
        <f t="shared" si="47"/>
        <v>1</v>
      </c>
      <c r="L262" s="958"/>
      <c r="M262" s="53">
        <f t="shared" si="48"/>
        <v>1</v>
      </c>
      <c r="N262" s="958"/>
      <c r="O262" s="53">
        <f t="shared" si="49"/>
        <v>1</v>
      </c>
      <c r="P262" s="958"/>
      <c r="Q262" s="53">
        <f t="shared" si="50"/>
        <v>1</v>
      </c>
      <c r="R262" s="488">
        <f t="shared" si="51"/>
        <v>0</v>
      </c>
      <c r="S262" s="795">
        <f t="shared" si="52"/>
        <v>0</v>
      </c>
    </row>
    <row r="263" spans="1:19">
      <c r="A263" s="960"/>
      <c r="B263" s="137"/>
      <c r="C263" s="53">
        <f t="shared" si="43"/>
        <v>1</v>
      </c>
      <c r="D263" s="958"/>
      <c r="E263" s="53">
        <f t="shared" si="44"/>
        <v>1</v>
      </c>
      <c r="F263" s="958"/>
      <c r="G263" s="53">
        <f t="shared" si="45"/>
        <v>1</v>
      </c>
      <c r="H263" s="958"/>
      <c r="I263" s="53">
        <f t="shared" si="46"/>
        <v>1</v>
      </c>
      <c r="J263" s="958"/>
      <c r="K263" s="53">
        <f t="shared" si="47"/>
        <v>1</v>
      </c>
      <c r="L263" s="958"/>
      <c r="M263" s="53">
        <f t="shared" si="48"/>
        <v>1</v>
      </c>
      <c r="N263" s="958"/>
      <c r="O263" s="53">
        <f t="shared" si="49"/>
        <v>1</v>
      </c>
      <c r="P263" s="958"/>
      <c r="Q263" s="53">
        <f t="shared" si="50"/>
        <v>1</v>
      </c>
      <c r="R263" s="488">
        <f t="shared" si="51"/>
        <v>0</v>
      </c>
      <c r="S263" s="795">
        <f t="shared" si="52"/>
        <v>0</v>
      </c>
    </row>
    <row r="264" spans="1:19">
      <c r="A264" s="960"/>
      <c r="B264" s="137"/>
      <c r="C264" s="53">
        <f t="shared" si="43"/>
        <v>1</v>
      </c>
      <c r="D264" s="958"/>
      <c r="E264" s="53">
        <f t="shared" si="44"/>
        <v>1</v>
      </c>
      <c r="F264" s="958"/>
      <c r="G264" s="53">
        <f t="shared" si="45"/>
        <v>1</v>
      </c>
      <c r="H264" s="958"/>
      <c r="I264" s="53">
        <f t="shared" si="46"/>
        <v>1</v>
      </c>
      <c r="J264" s="958"/>
      <c r="K264" s="53">
        <f t="shared" si="47"/>
        <v>1</v>
      </c>
      <c r="L264" s="958"/>
      <c r="M264" s="53">
        <f t="shared" si="48"/>
        <v>1</v>
      </c>
      <c r="N264" s="958"/>
      <c r="O264" s="53">
        <f t="shared" si="49"/>
        <v>1</v>
      </c>
      <c r="P264" s="958"/>
      <c r="Q264" s="53">
        <f t="shared" si="50"/>
        <v>1</v>
      </c>
      <c r="R264" s="488">
        <f t="shared" si="51"/>
        <v>0</v>
      </c>
      <c r="S264" s="795">
        <f t="shared" si="52"/>
        <v>0</v>
      </c>
    </row>
    <row r="265" spans="1:19">
      <c r="A265" s="960"/>
      <c r="B265" s="137"/>
      <c r="C265" s="53">
        <f t="shared" si="43"/>
        <v>1</v>
      </c>
      <c r="D265" s="958"/>
      <c r="E265" s="53">
        <f t="shared" si="44"/>
        <v>1</v>
      </c>
      <c r="F265" s="958"/>
      <c r="G265" s="53">
        <f t="shared" si="45"/>
        <v>1</v>
      </c>
      <c r="H265" s="958"/>
      <c r="I265" s="53">
        <f t="shared" si="46"/>
        <v>1</v>
      </c>
      <c r="J265" s="958"/>
      <c r="K265" s="53">
        <f t="shared" si="47"/>
        <v>1</v>
      </c>
      <c r="L265" s="958"/>
      <c r="M265" s="53">
        <f t="shared" si="48"/>
        <v>1</v>
      </c>
      <c r="N265" s="958"/>
      <c r="O265" s="53">
        <f t="shared" si="49"/>
        <v>1</v>
      </c>
      <c r="P265" s="958"/>
      <c r="Q265" s="53">
        <f t="shared" si="50"/>
        <v>1</v>
      </c>
      <c r="R265" s="488">
        <f t="shared" si="51"/>
        <v>0</v>
      </c>
      <c r="S265" s="795">
        <f t="shared" si="52"/>
        <v>0</v>
      </c>
    </row>
    <row r="266" spans="1:19">
      <c r="A266" s="960"/>
      <c r="B266" s="137"/>
      <c r="C266" s="53">
        <f t="shared" si="43"/>
        <v>1</v>
      </c>
      <c r="D266" s="958"/>
      <c r="E266" s="53">
        <f t="shared" si="44"/>
        <v>1</v>
      </c>
      <c r="F266" s="958"/>
      <c r="G266" s="53">
        <f t="shared" si="45"/>
        <v>1</v>
      </c>
      <c r="H266" s="958"/>
      <c r="I266" s="53">
        <f t="shared" si="46"/>
        <v>1</v>
      </c>
      <c r="J266" s="958"/>
      <c r="K266" s="53">
        <f t="shared" si="47"/>
        <v>1</v>
      </c>
      <c r="L266" s="958"/>
      <c r="M266" s="53">
        <f t="shared" si="48"/>
        <v>1</v>
      </c>
      <c r="N266" s="958"/>
      <c r="O266" s="53">
        <f t="shared" si="49"/>
        <v>1</v>
      </c>
      <c r="P266" s="958"/>
      <c r="Q266" s="53">
        <f t="shared" si="50"/>
        <v>1</v>
      </c>
      <c r="R266" s="488">
        <f t="shared" si="51"/>
        <v>0</v>
      </c>
      <c r="S266" s="795">
        <f t="shared" si="52"/>
        <v>0</v>
      </c>
    </row>
    <row r="267" spans="1:19">
      <c r="A267" s="960"/>
      <c r="B267" s="137"/>
      <c r="C267" s="53">
        <f t="shared" si="43"/>
        <v>1</v>
      </c>
      <c r="D267" s="958"/>
      <c r="E267" s="53">
        <f t="shared" si="44"/>
        <v>1</v>
      </c>
      <c r="F267" s="958"/>
      <c r="G267" s="53">
        <f t="shared" si="45"/>
        <v>1</v>
      </c>
      <c r="H267" s="958"/>
      <c r="I267" s="53">
        <f t="shared" si="46"/>
        <v>1</v>
      </c>
      <c r="J267" s="958"/>
      <c r="K267" s="53">
        <f t="shared" si="47"/>
        <v>1</v>
      </c>
      <c r="L267" s="958"/>
      <c r="M267" s="53">
        <f t="shared" si="48"/>
        <v>1</v>
      </c>
      <c r="N267" s="958"/>
      <c r="O267" s="53">
        <f t="shared" si="49"/>
        <v>1</v>
      </c>
      <c r="P267" s="958"/>
      <c r="Q267" s="53">
        <f t="shared" si="50"/>
        <v>1</v>
      </c>
      <c r="R267" s="488">
        <f t="shared" si="51"/>
        <v>0</v>
      </c>
      <c r="S267" s="795">
        <f t="shared" si="52"/>
        <v>0</v>
      </c>
    </row>
    <row r="268" spans="1:19">
      <c r="A268" s="960"/>
      <c r="B268" s="137"/>
      <c r="C268" s="53">
        <f t="shared" si="43"/>
        <v>1</v>
      </c>
      <c r="D268" s="958"/>
      <c r="E268" s="53">
        <f t="shared" si="44"/>
        <v>1</v>
      </c>
      <c r="F268" s="958"/>
      <c r="G268" s="53">
        <f t="shared" si="45"/>
        <v>1</v>
      </c>
      <c r="H268" s="958"/>
      <c r="I268" s="53">
        <f t="shared" si="46"/>
        <v>1</v>
      </c>
      <c r="J268" s="958"/>
      <c r="K268" s="53">
        <f t="shared" si="47"/>
        <v>1</v>
      </c>
      <c r="L268" s="958"/>
      <c r="M268" s="53">
        <f t="shared" si="48"/>
        <v>1</v>
      </c>
      <c r="N268" s="958"/>
      <c r="O268" s="53">
        <f t="shared" si="49"/>
        <v>1</v>
      </c>
      <c r="P268" s="958"/>
      <c r="Q268" s="53">
        <f t="shared" si="50"/>
        <v>1</v>
      </c>
      <c r="R268" s="488">
        <f t="shared" si="51"/>
        <v>0</v>
      </c>
      <c r="S268" s="795">
        <f t="shared" si="52"/>
        <v>0</v>
      </c>
    </row>
    <row r="269" spans="1:19">
      <c r="A269" s="960"/>
      <c r="B269" s="137"/>
      <c r="C269" s="53">
        <f t="shared" si="43"/>
        <v>1</v>
      </c>
      <c r="D269" s="958"/>
      <c r="E269" s="53">
        <f t="shared" si="44"/>
        <v>1</v>
      </c>
      <c r="F269" s="958"/>
      <c r="G269" s="53">
        <f t="shared" si="45"/>
        <v>1</v>
      </c>
      <c r="H269" s="958"/>
      <c r="I269" s="53">
        <f t="shared" si="46"/>
        <v>1</v>
      </c>
      <c r="J269" s="958"/>
      <c r="K269" s="53">
        <f t="shared" si="47"/>
        <v>1</v>
      </c>
      <c r="L269" s="958"/>
      <c r="M269" s="53">
        <f t="shared" si="48"/>
        <v>1</v>
      </c>
      <c r="N269" s="958"/>
      <c r="O269" s="53">
        <f t="shared" si="49"/>
        <v>1</v>
      </c>
      <c r="P269" s="958"/>
      <c r="Q269" s="53">
        <f t="shared" si="50"/>
        <v>1</v>
      </c>
      <c r="R269" s="488">
        <f t="shared" si="51"/>
        <v>0</v>
      </c>
      <c r="S269" s="795">
        <f t="shared" si="52"/>
        <v>0</v>
      </c>
    </row>
    <row r="270" spans="1:19">
      <c r="A270" s="960"/>
      <c r="B270" s="137"/>
      <c r="C270" s="53">
        <f t="shared" si="43"/>
        <v>1</v>
      </c>
      <c r="D270" s="958"/>
      <c r="E270" s="53">
        <f t="shared" si="44"/>
        <v>1</v>
      </c>
      <c r="F270" s="958"/>
      <c r="G270" s="53">
        <f t="shared" si="45"/>
        <v>1</v>
      </c>
      <c r="H270" s="958"/>
      <c r="I270" s="53">
        <f t="shared" si="46"/>
        <v>1</v>
      </c>
      <c r="J270" s="958"/>
      <c r="K270" s="53">
        <f t="shared" si="47"/>
        <v>1</v>
      </c>
      <c r="L270" s="958"/>
      <c r="M270" s="53">
        <f t="shared" si="48"/>
        <v>1</v>
      </c>
      <c r="N270" s="958"/>
      <c r="O270" s="53">
        <f t="shared" si="49"/>
        <v>1</v>
      </c>
      <c r="P270" s="958"/>
      <c r="Q270" s="53">
        <f t="shared" si="50"/>
        <v>1</v>
      </c>
      <c r="R270" s="488">
        <f t="shared" si="51"/>
        <v>0</v>
      </c>
      <c r="S270" s="795">
        <f t="shared" si="52"/>
        <v>0</v>
      </c>
    </row>
    <row r="271" spans="1:19">
      <c r="A271" s="960"/>
      <c r="B271" s="137"/>
      <c r="C271" s="53">
        <f t="shared" si="43"/>
        <v>1</v>
      </c>
      <c r="D271" s="958"/>
      <c r="E271" s="53">
        <f t="shared" si="44"/>
        <v>1</v>
      </c>
      <c r="F271" s="958"/>
      <c r="G271" s="53">
        <f t="shared" si="45"/>
        <v>1</v>
      </c>
      <c r="H271" s="958"/>
      <c r="I271" s="53">
        <f t="shared" si="46"/>
        <v>1</v>
      </c>
      <c r="J271" s="958"/>
      <c r="K271" s="53">
        <f t="shared" si="47"/>
        <v>1</v>
      </c>
      <c r="L271" s="958"/>
      <c r="M271" s="53">
        <f t="shared" si="48"/>
        <v>1</v>
      </c>
      <c r="N271" s="958"/>
      <c r="O271" s="53">
        <f t="shared" si="49"/>
        <v>1</v>
      </c>
      <c r="P271" s="958"/>
      <c r="Q271" s="53">
        <f t="shared" si="50"/>
        <v>1</v>
      </c>
      <c r="R271" s="488">
        <f t="shared" si="51"/>
        <v>0</v>
      </c>
      <c r="S271" s="795">
        <f t="shared" si="52"/>
        <v>0</v>
      </c>
    </row>
    <row r="272" spans="1:19">
      <c r="A272" s="960"/>
      <c r="B272" s="137"/>
      <c r="C272" s="53">
        <f t="shared" si="43"/>
        <v>1</v>
      </c>
      <c r="D272" s="958"/>
      <c r="E272" s="53">
        <f t="shared" si="44"/>
        <v>1</v>
      </c>
      <c r="F272" s="958"/>
      <c r="G272" s="53">
        <f t="shared" si="45"/>
        <v>1</v>
      </c>
      <c r="H272" s="958"/>
      <c r="I272" s="53">
        <f t="shared" si="46"/>
        <v>1</v>
      </c>
      <c r="J272" s="958"/>
      <c r="K272" s="53">
        <f t="shared" si="47"/>
        <v>1</v>
      </c>
      <c r="L272" s="958"/>
      <c r="M272" s="53">
        <f t="shared" si="48"/>
        <v>1</v>
      </c>
      <c r="N272" s="958"/>
      <c r="O272" s="53">
        <f t="shared" si="49"/>
        <v>1</v>
      </c>
      <c r="P272" s="958"/>
      <c r="Q272" s="53">
        <f t="shared" si="50"/>
        <v>1</v>
      </c>
      <c r="R272" s="488">
        <f t="shared" si="51"/>
        <v>0</v>
      </c>
      <c r="S272" s="795">
        <f t="shared" si="52"/>
        <v>0</v>
      </c>
    </row>
    <row r="273" spans="1:19">
      <c r="A273" s="960"/>
      <c r="B273" s="137"/>
      <c r="C273" s="53">
        <f t="shared" si="43"/>
        <v>1</v>
      </c>
      <c r="D273" s="958"/>
      <c r="E273" s="53">
        <f t="shared" si="44"/>
        <v>1</v>
      </c>
      <c r="F273" s="958"/>
      <c r="G273" s="53">
        <f t="shared" si="45"/>
        <v>1</v>
      </c>
      <c r="H273" s="958"/>
      <c r="I273" s="53">
        <f t="shared" si="46"/>
        <v>1</v>
      </c>
      <c r="J273" s="958"/>
      <c r="K273" s="53">
        <f t="shared" si="47"/>
        <v>1</v>
      </c>
      <c r="L273" s="958"/>
      <c r="M273" s="53">
        <f t="shared" si="48"/>
        <v>1</v>
      </c>
      <c r="N273" s="958"/>
      <c r="O273" s="53">
        <f t="shared" si="49"/>
        <v>1</v>
      </c>
      <c r="P273" s="958"/>
      <c r="Q273" s="53">
        <f t="shared" si="50"/>
        <v>1</v>
      </c>
      <c r="R273" s="488">
        <f t="shared" si="51"/>
        <v>0</v>
      </c>
      <c r="S273" s="795">
        <f t="shared" si="52"/>
        <v>0</v>
      </c>
    </row>
    <row r="274" spans="1:19">
      <c r="A274" s="960"/>
      <c r="B274" s="137"/>
      <c r="C274" s="53">
        <f t="shared" si="43"/>
        <v>1</v>
      </c>
      <c r="D274" s="958"/>
      <c r="E274" s="53">
        <f t="shared" si="44"/>
        <v>1</v>
      </c>
      <c r="F274" s="958"/>
      <c r="G274" s="53">
        <f t="shared" si="45"/>
        <v>1</v>
      </c>
      <c r="H274" s="958"/>
      <c r="I274" s="53">
        <f t="shared" si="46"/>
        <v>1</v>
      </c>
      <c r="J274" s="958"/>
      <c r="K274" s="53">
        <f t="shared" si="47"/>
        <v>1</v>
      </c>
      <c r="L274" s="958"/>
      <c r="M274" s="53">
        <f t="shared" si="48"/>
        <v>1</v>
      </c>
      <c r="N274" s="958"/>
      <c r="O274" s="53">
        <f t="shared" si="49"/>
        <v>1</v>
      </c>
      <c r="P274" s="958"/>
      <c r="Q274" s="53">
        <f t="shared" si="50"/>
        <v>1</v>
      </c>
      <c r="R274" s="488">
        <f t="shared" si="51"/>
        <v>0</v>
      </c>
      <c r="S274" s="795">
        <f t="shared" si="52"/>
        <v>0</v>
      </c>
    </row>
    <row r="275" spans="1:19">
      <c r="A275" s="960"/>
      <c r="B275" s="137"/>
      <c r="C275" s="53">
        <f t="shared" si="43"/>
        <v>1</v>
      </c>
      <c r="D275" s="958"/>
      <c r="E275" s="53">
        <f t="shared" si="44"/>
        <v>1</v>
      </c>
      <c r="F275" s="958"/>
      <c r="G275" s="53">
        <f t="shared" si="45"/>
        <v>1</v>
      </c>
      <c r="H275" s="958"/>
      <c r="I275" s="53">
        <f t="shared" si="46"/>
        <v>1</v>
      </c>
      <c r="J275" s="958"/>
      <c r="K275" s="53">
        <f t="shared" si="47"/>
        <v>1</v>
      </c>
      <c r="L275" s="958"/>
      <c r="M275" s="53">
        <f t="shared" si="48"/>
        <v>1</v>
      </c>
      <c r="N275" s="958"/>
      <c r="O275" s="53">
        <f t="shared" si="49"/>
        <v>1</v>
      </c>
      <c r="P275" s="958"/>
      <c r="Q275" s="53">
        <f t="shared" si="50"/>
        <v>1</v>
      </c>
      <c r="R275" s="488">
        <f t="shared" si="51"/>
        <v>0</v>
      </c>
      <c r="S275" s="795">
        <f t="shared" si="52"/>
        <v>0</v>
      </c>
    </row>
    <row r="276" spans="1:19">
      <c r="A276" s="960"/>
      <c r="B276" s="137"/>
      <c r="C276" s="53">
        <f t="shared" si="43"/>
        <v>1</v>
      </c>
      <c r="D276" s="958"/>
      <c r="E276" s="53">
        <f t="shared" si="44"/>
        <v>1</v>
      </c>
      <c r="F276" s="958"/>
      <c r="G276" s="53">
        <f t="shared" si="45"/>
        <v>1</v>
      </c>
      <c r="H276" s="958"/>
      <c r="I276" s="53">
        <f t="shared" si="46"/>
        <v>1</v>
      </c>
      <c r="J276" s="958"/>
      <c r="K276" s="53">
        <f t="shared" si="47"/>
        <v>1</v>
      </c>
      <c r="L276" s="958"/>
      <c r="M276" s="53">
        <f t="shared" si="48"/>
        <v>1</v>
      </c>
      <c r="N276" s="958"/>
      <c r="O276" s="53">
        <f t="shared" si="49"/>
        <v>1</v>
      </c>
      <c r="P276" s="958"/>
      <c r="Q276" s="53">
        <f t="shared" si="50"/>
        <v>1</v>
      </c>
      <c r="R276" s="488">
        <f t="shared" si="51"/>
        <v>0</v>
      </c>
      <c r="S276" s="795">
        <f t="shared" si="52"/>
        <v>0</v>
      </c>
    </row>
    <row r="277" spans="1:19">
      <c r="A277" s="960"/>
      <c r="B277" s="137"/>
      <c r="C277" s="53">
        <f t="shared" si="43"/>
        <v>1</v>
      </c>
      <c r="D277" s="958"/>
      <c r="E277" s="53">
        <f t="shared" si="44"/>
        <v>1</v>
      </c>
      <c r="F277" s="958"/>
      <c r="G277" s="53">
        <f t="shared" si="45"/>
        <v>1</v>
      </c>
      <c r="H277" s="958"/>
      <c r="I277" s="53">
        <f t="shared" si="46"/>
        <v>1</v>
      </c>
      <c r="J277" s="958"/>
      <c r="K277" s="53">
        <f t="shared" si="47"/>
        <v>1</v>
      </c>
      <c r="L277" s="958"/>
      <c r="M277" s="53">
        <f t="shared" si="48"/>
        <v>1</v>
      </c>
      <c r="N277" s="958"/>
      <c r="O277" s="53">
        <f t="shared" si="49"/>
        <v>1</v>
      </c>
      <c r="P277" s="958"/>
      <c r="Q277" s="53">
        <f t="shared" si="50"/>
        <v>1</v>
      </c>
      <c r="R277" s="488">
        <f t="shared" si="51"/>
        <v>0</v>
      </c>
      <c r="S277" s="795">
        <f t="shared" si="52"/>
        <v>0</v>
      </c>
    </row>
    <row r="278" spans="1:19">
      <c r="A278" s="960"/>
      <c r="B278" s="137"/>
      <c r="C278" s="53">
        <f t="shared" si="43"/>
        <v>1</v>
      </c>
      <c r="D278" s="958"/>
      <c r="E278" s="53">
        <f t="shared" si="44"/>
        <v>1</v>
      </c>
      <c r="F278" s="958"/>
      <c r="G278" s="53">
        <f t="shared" si="45"/>
        <v>1</v>
      </c>
      <c r="H278" s="958"/>
      <c r="I278" s="53">
        <f t="shared" si="46"/>
        <v>1</v>
      </c>
      <c r="J278" s="958"/>
      <c r="K278" s="53">
        <f t="shared" si="47"/>
        <v>1</v>
      </c>
      <c r="L278" s="958"/>
      <c r="M278" s="53">
        <f t="shared" si="48"/>
        <v>1</v>
      </c>
      <c r="N278" s="958"/>
      <c r="O278" s="53">
        <f t="shared" si="49"/>
        <v>1</v>
      </c>
      <c r="P278" s="958"/>
      <c r="Q278" s="53">
        <f t="shared" si="50"/>
        <v>1</v>
      </c>
      <c r="R278" s="488">
        <f t="shared" si="51"/>
        <v>0</v>
      </c>
      <c r="S278" s="795">
        <f t="shared" si="52"/>
        <v>0</v>
      </c>
    </row>
    <row r="279" spans="1:19">
      <c r="A279" s="960"/>
      <c r="B279" s="137"/>
      <c r="C279" s="53">
        <f t="shared" si="43"/>
        <v>1</v>
      </c>
      <c r="D279" s="958"/>
      <c r="E279" s="53">
        <f t="shared" si="44"/>
        <v>1</v>
      </c>
      <c r="F279" s="958"/>
      <c r="G279" s="53">
        <f t="shared" si="45"/>
        <v>1</v>
      </c>
      <c r="H279" s="958"/>
      <c r="I279" s="53">
        <f t="shared" si="46"/>
        <v>1</v>
      </c>
      <c r="J279" s="958"/>
      <c r="K279" s="53">
        <f t="shared" si="47"/>
        <v>1</v>
      </c>
      <c r="L279" s="958"/>
      <c r="M279" s="53">
        <f t="shared" si="48"/>
        <v>1</v>
      </c>
      <c r="N279" s="958"/>
      <c r="O279" s="53">
        <f t="shared" si="49"/>
        <v>1</v>
      </c>
      <c r="P279" s="958"/>
      <c r="Q279" s="53">
        <f t="shared" si="50"/>
        <v>1</v>
      </c>
      <c r="R279" s="488">
        <f t="shared" si="51"/>
        <v>0</v>
      </c>
      <c r="S279" s="795">
        <f t="shared" si="52"/>
        <v>0</v>
      </c>
    </row>
    <row r="280" spans="1:19">
      <c r="A280" s="960"/>
      <c r="B280" s="137"/>
      <c r="C280" s="53">
        <f t="shared" si="43"/>
        <v>1</v>
      </c>
      <c r="D280" s="958"/>
      <c r="E280" s="53">
        <f t="shared" si="44"/>
        <v>1</v>
      </c>
      <c r="F280" s="958"/>
      <c r="G280" s="53">
        <f t="shared" si="45"/>
        <v>1</v>
      </c>
      <c r="H280" s="958"/>
      <c r="I280" s="53">
        <f t="shared" si="46"/>
        <v>1</v>
      </c>
      <c r="J280" s="958"/>
      <c r="K280" s="53">
        <f t="shared" si="47"/>
        <v>1</v>
      </c>
      <c r="L280" s="958"/>
      <c r="M280" s="53">
        <f t="shared" si="48"/>
        <v>1</v>
      </c>
      <c r="N280" s="958"/>
      <c r="O280" s="53">
        <f t="shared" si="49"/>
        <v>1</v>
      </c>
      <c r="P280" s="958"/>
      <c r="Q280" s="53">
        <f t="shared" si="50"/>
        <v>1</v>
      </c>
      <c r="R280" s="488">
        <f t="shared" si="51"/>
        <v>0</v>
      </c>
      <c r="S280" s="795">
        <f t="shared" si="52"/>
        <v>0</v>
      </c>
    </row>
    <row r="281" spans="1:19">
      <c r="A281" s="960"/>
      <c r="B281" s="137"/>
      <c r="C281" s="53">
        <f t="shared" si="43"/>
        <v>1</v>
      </c>
      <c r="D281" s="958"/>
      <c r="E281" s="53">
        <f t="shared" si="44"/>
        <v>1</v>
      </c>
      <c r="F281" s="958"/>
      <c r="G281" s="53">
        <f t="shared" si="45"/>
        <v>1</v>
      </c>
      <c r="H281" s="958"/>
      <c r="I281" s="53">
        <f t="shared" si="46"/>
        <v>1</v>
      </c>
      <c r="J281" s="958"/>
      <c r="K281" s="53">
        <f t="shared" si="47"/>
        <v>1</v>
      </c>
      <c r="L281" s="958"/>
      <c r="M281" s="53">
        <f t="shared" si="48"/>
        <v>1</v>
      </c>
      <c r="N281" s="958"/>
      <c r="O281" s="53">
        <f t="shared" si="49"/>
        <v>1</v>
      </c>
      <c r="P281" s="958"/>
      <c r="Q281" s="53">
        <f t="shared" si="50"/>
        <v>1</v>
      </c>
      <c r="R281" s="488">
        <f t="shared" si="51"/>
        <v>0</v>
      </c>
      <c r="S281" s="795">
        <f t="shared" si="52"/>
        <v>0</v>
      </c>
    </row>
    <row r="282" spans="1:19">
      <c r="A282" s="960"/>
      <c r="B282" s="137"/>
      <c r="C282" s="53">
        <f t="shared" ref="C282:C345" si="53">IF(B282="",1,(LOOKUP(B282,$3:$3,$4:$4)-LOOKUP($B$24,$3:$3,$4:$4)+100)/100)</f>
        <v>1</v>
      </c>
      <c r="D282" s="958"/>
      <c r="E282" s="53">
        <f t="shared" ref="E282:E345" si="54">(SUMIF($5:$5,D282,$6:$6)-SUMIF($5:$5,$D$24,$6:$6)+100)/100</f>
        <v>1</v>
      </c>
      <c r="F282" s="958"/>
      <c r="G282" s="53">
        <f t="shared" ref="G282:G345" si="55">(SUMIF($7:$7,F282,$8:$8)-SUMIF($7:$7,$F$24,$8:$8)+100)/100</f>
        <v>1</v>
      </c>
      <c r="H282" s="958"/>
      <c r="I282" s="53">
        <f t="shared" ref="I282:I345" si="56">(SUMIF($9:$9,H282,$10:$10)-SUMIF($9:$9,$H$24,$10:$10)+100)/100</f>
        <v>1</v>
      </c>
      <c r="J282" s="958"/>
      <c r="K282" s="53">
        <f t="shared" ref="K282:K345" si="57">(SUMIF($11:$11,J282,$12:$12)-SUMIF($11:$11,$J$24,$12:$12)+100)/100</f>
        <v>1</v>
      </c>
      <c r="L282" s="958"/>
      <c r="M282" s="53">
        <f t="shared" ref="M282:M345" si="58">(SUMIF($13:$13,L282,$14:$14)-SUMIF($13:$13,$L$24,$14:$14)+100)/100</f>
        <v>1</v>
      </c>
      <c r="N282" s="958"/>
      <c r="O282" s="53">
        <f t="shared" ref="O282:O345" si="59">(SUMIF($15:$15,N282,$16:$16)-SUMIF($15:$15,$N$24,$16:$16)+100)/100</f>
        <v>1</v>
      </c>
      <c r="P282" s="958"/>
      <c r="Q282" s="53">
        <f t="shared" ref="Q282:Q345" si="60">(SUMIF($17:$17,P282,$18:$18)-SUMIF($17:$17,$P$24,$18:$18)+100)/100</f>
        <v>1</v>
      </c>
      <c r="R282" s="488">
        <f t="shared" ref="R282:R345" si="61">IF(B282="",0,ROUND($R$24*C282*E282*G282*I282*K282*M282*O282*Q282,0))</f>
        <v>0</v>
      </c>
      <c r="S282" s="795">
        <f t="shared" si="52"/>
        <v>0</v>
      </c>
    </row>
    <row r="283" spans="1:19">
      <c r="A283" s="960"/>
      <c r="B283" s="137"/>
      <c r="C283" s="53">
        <f t="shared" si="53"/>
        <v>1</v>
      </c>
      <c r="D283" s="958"/>
      <c r="E283" s="53">
        <f t="shared" si="54"/>
        <v>1</v>
      </c>
      <c r="F283" s="958"/>
      <c r="G283" s="53">
        <f t="shared" si="55"/>
        <v>1</v>
      </c>
      <c r="H283" s="958"/>
      <c r="I283" s="53">
        <f t="shared" si="56"/>
        <v>1</v>
      </c>
      <c r="J283" s="958"/>
      <c r="K283" s="53">
        <f t="shared" si="57"/>
        <v>1</v>
      </c>
      <c r="L283" s="958"/>
      <c r="M283" s="53">
        <f t="shared" si="58"/>
        <v>1</v>
      </c>
      <c r="N283" s="958"/>
      <c r="O283" s="53">
        <f t="shared" si="59"/>
        <v>1</v>
      </c>
      <c r="P283" s="958"/>
      <c r="Q283" s="53">
        <f t="shared" si="60"/>
        <v>1</v>
      </c>
      <c r="R283" s="488">
        <f t="shared" si="61"/>
        <v>0</v>
      </c>
      <c r="S283" s="795">
        <f t="shared" si="52"/>
        <v>0</v>
      </c>
    </row>
    <row r="284" spans="1:19">
      <c r="A284" s="960"/>
      <c r="B284" s="137"/>
      <c r="C284" s="53">
        <f t="shared" si="53"/>
        <v>1</v>
      </c>
      <c r="D284" s="958"/>
      <c r="E284" s="53">
        <f t="shared" si="54"/>
        <v>1</v>
      </c>
      <c r="F284" s="958"/>
      <c r="G284" s="53">
        <f t="shared" si="55"/>
        <v>1</v>
      </c>
      <c r="H284" s="958"/>
      <c r="I284" s="53">
        <f t="shared" si="56"/>
        <v>1</v>
      </c>
      <c r="J284" s="958"/>
      <c r="K284" s="53">
        <f t="shared" si="57"/>
        <v>1</v>
      </c>
      <c r="L284" s="958"/>
      <c r="M284" s="53">
        <f t="shared" si="58"/>
        <v>1</v>
      </c>
      <c r="N284" s="958"/>
      <c r="O284" s="53">
        <f t="shared" si="59"/>
        <v>1</v>
      </c>
      <c r="P284" s="958"/>
      <c r="Q284" s="53">
        <f t="shared" si="60"/>
        <v>1</v>
      </c>
      <c r="R284" s="488">
        <f t="shared" si="61"/>
        <v>0</v>
      </c>
      <c r="S284" s="795">
        <f t="shared" si="52"/>
        <v>0</v>
      </c>
    </row>
    <row r="285" spans="1:19">
      <c r="A285" s="960"/>
      <c r="B285" s="137"/>
      <c r="C285" s="53">
        <f t="shared" si="53"/>
        <v>1</v>
      </c>
      <c r="D285" s="958"/>
      <c r="E285" s="53">
        <f t="shared" si="54"/>
        <v>1</v>
      </c>
      <c r="F285" s="958"/>
      <c r="G285" s="53">
        <f t="shared" si="55"/>
        <v>1</v>
      </c>
      <c r="H285" s="958"/>
      <c r="I285" s="53">
        <f t="shared" si="56"/>
        <v>1</v>
      </c>
      <c r="J285" s="958"/>
      <c r="K285" s="53">
        <f t="shared" si="57"/>
        <v>1</v>
      </c>
      <c r="L285" s="958"/>
      <c r="M285" s="53">
        <f t="shared" si="58"/>
        <v>1</v>
      </c>
      <c r="N285" s="958"/>
      <c r="O285" s="53">
        <f t="shared" si="59"/>
        <v>1</v>
      </c>
      <c r="P285" s="958"/>
      <c r="Q285" s="53">
        <f t="shared" si="60"/>
        <v>1</v>
      </c>
      <c r="R285" s="488">
        <f t="shared" si="61"/>
        <v>0</v>
      </c>
      <c r="S285" s="795">
        <f t="shared" si="52"/>
        <v>0</v>
      </c>
    </row>
    <row r="286" spans="1:19">
      <c r="A286" s="960"/>
      <c r="B286" s="137"/>
      <c r="C286" s="53">
        <f t="shared" si="53"/>
        <v>1</v>
      </c>
      <c r="D286" s="958"/>
      <c r="E286" s="53">
        <f t="shared" si="54"/>
        <v>1</v>
      </c>
      <c r="F286" s="958"/>
      <c r="G286" s="53">
        <f t="shared" si="55"/>
        <v>1</v>
      </c>
      <c r="H286" s="958"/>
      <c r="I286" s="53">
        <f t="shared" si="56"/>
        <v>1</v>
      </c>
      <c r="J286" s="958"/>
      <c r="K286" s="53">
        <f t="shared" si="57"/>
        <v>1</v>
      </c>
      <c r="L286" s="958"/>
      <c r="M286" s="53">
        <f t="shared" si="58"/>
        <v>1</v>
      </c>
      <c r="N286" s="958"/>
      <c r="O286" s="53">
        <f t="shared" si="59"/>
        <v>1</v>
      </c>
      <c r="P286" s="958"/>
      <c r="Q286" s="53">
        <f t="shared" si="60"/>
        <v>1</v>
      </c>
      <c r="R286" s="488">
        <f t="shared" si="61"/>
        <v>0</v>
      </c>
      <c r="S286" s="795">
        <f t="shared" si="52"/>
        <v>0</v>
      </c>
    </row>
    <row r="287" spans="1:19">
      <c r="A287" s="960"/>
      <c r="B287" s="137"/>
      <c r="C287" s="53">
        <f t="shared" si="53"/>
        <v>1</v>
      </c>
      <c r="D287" s="958"/>
      <c r="E287" s="53">
        <f t="shared" si="54"/>
        <v>1</v>
      </c>
      <c r="F287" s="958"/>
      <c r="G287" s="53">
        <f t="shared" si="55"/>
        <v>1</v>
      </c>
      <c r="H287" s="958"/>
      <c r="I287" s="53">
        <f t="shared" si="56"/>
        <v>1</v>
      </c>
      <c r="J287" s="958"/>
      <c r="K287" s="53">
        <f t="shared" si="57"/>
        <v>1</v>
      </c>
      <c r="L287" s="958"/>
      <c r="M287" s="53">
        <f t="shared" si="58"/>
        <v>1</v>
      </c>
      <c r="N287" s="958"/>
      <c r="O287" s="53">
        <f t="shared" si="59"/>
        <v>1</v>
      </c>
      <c r="P287" s="958"/>
      <c r="Q287" s="53">
        <f t="shared" si="60"/>
        <v>1</v>
      </c>
      <c r="R287" s="488">
        <f t="shared" si="61"/>
        <v>0</v>
      </c>
      <c r="S287" s="795">
        <f t="shared" ref="S287:S320" si="62">ROUND(R287*B287/10000,0)</f>
        <v>0</v>
      </c>
    </row>
    <row r="288" spans="1:19">
      <c r="A288" s="960"/>
      <c r="B288" s="137"/>
      <c r="C288" s="53">
        <f t="shared" si="53"/>
        <v>1</v>
      </c>
      <c r="D288" s="958"/>
      <c r="E288" s="53">
        <f t="shared" si="54"/>
        <v>1</v>
      </c>
      <c r="F288" s="958"/>
      <c r="G288" s="53">
        <f t="shared" si="55"/>
        <v>1</v>
      </c>
      <c r="H288" s="958"/>
      <c r="I288" s="53">
        <f t="shared" si="56"/>
        <v>1</v>
      </c>
      <c r="J288" s="958"/>
      <c r="K288" s="53">
        <f t="shared" si="57"/>
        <v>1</v>
      </c>
      <c r="L288" s="958"/>
      <c r="M288" s="53">
        <f t="shared" si="58"/>
        <v>1</v>
      </c>
      <c r="N288" s="958"/>
      <c r="O288" s="53">
        <f t="shared" si="59"/>
        <v>1</v>
      </c>
      <c r="P288" s="958"/>
      <c r="Q288" s="53">
        <f t="shared" si="60"/>
        <v>1</v>
      </c>
      <c r="R288" s="488">
        <f t="shared" si="61"/>
        <v>0</v>
      </c>
      <c r="S288" s="795">
        <f t="shared" si="62"/>
        <v>0</v>
      </c>
    </row>
    <row r="289" spans="1:19">
      <c r="A289" s="960"/>
      <c r="B289" s="137"/>
      <c r="C289" s="53">
        <f t="shared" si="53"/>
        <v>1</v>
      </c>
      <c r="D289" s="958"/>
      <c r="E289" s="53">
        <f t="shared" si="54"/>
        <v>1</v>
      </c>
      <c r="F289" s="958"/>
      <c r="G289" s="53">
        <f t="shared" si="55"/>
        <v>1</v>
      </c>
      <c r="H289" s="958"/>
      <c r="I289" s="53">
        <f t="shared" si="56"/>
        <v>1</v>
      </c>
      <c r="J289" s="958"/>
      <c r="K289" s="53">
        <f t="shared" si="57"/>
        <v>1</v>
      </c>
      <c r="L289" s="958"/>
      <c r="M289" s="53">
        <f t="shared" si="58"/>
        <v>1</v>
      </c>
      <c r="N289" s="958"/>
      <c r="O289" s="53">
        <f t="shared" si="59"/>
        <v>1</v>
      </c>
      <c r="P289" s="958"/>
      <c r="Q289" s="53">
        <f t="shared" si="60"/>
        <v>1</v>
      </c>
      <c r="R289" s="488">
        <f t="shared" si="61"/>
        <v>0</v>
      </c>
      <c r="S289" s="795">
        <f t="shared" si="62"/>
        <v>0</v>
      </c>
    </row>
    <row r="290" spans="1:19">
      <c r="A290" s="960"/>
      <c r="B290" s="137"/>
      <c r="C290" s="53">
        <f t="shared" si="53"/>
        <v>1</v>
      </c>
      <c r="D290" s="958"/>
      <c r="E290" s="53">
        <f t="shared" si="54"/>
        <v>1</v>
      </c>
      <c r="F290" s="958"/>
      <c r="G290" s="53">
        <f t="shared" si="55"/>
        <v>1</v>
      </c>
      <c r="H290" s="958"/>
      <c r="I290" s="53">
        <f t="shared" si="56"/>
        <v>1</v>
      </c>
      <c r="J290" s="958"/>
      <c r="K290" s="53">
        <f t="shared" si="57"/>
        <v>1</v>
      </c>
      <c r="L290" s="958"/>
      <c r="M290" s="53">
        <f t="shared" si="58"/>
        <v>1</v>
      </c>
      <c r="N290" s="958"/>
      <c r="O290" s="53">
        <f t="shared" si="59"/>
        <v>1</v>
      </c>
      <c r="P290" s="958"/>
      <c r="Q290" s="53">
        <f t="shared" si="60"/>
        <v>1</v>
      </c>
      <c r="R290" s="488">
        <f t="shared" si="61"/>
        <v>0</v>
      </c>
      <c r="S290" s="795">
        <f t="shared" si="62"/>
        <v>0</v>
      </c>
    </row>
    <row r="291" spans="1:19">
      <c r="A291" s="960"/>
      <c r="B291" s="137"/>
      <c r="C291" s="53">
        <f t="shared" si="53"/>
        <v>1</v>
      </c>
      <c r="D291" s="958"/>
      <c r="E291" s="53">
        <f t="shared" si="54"/>
        <v>1</v>
      </c>
      <c r="F291" s="958"/>
      <c r="G291" s="53">
        <f t="shared" si="55"/>
        <v>1</v>
      </c>
      <c r="H291" s="958"/>
      <c r="I291" s="53">
        <f t="shared" si="56"/>
        <v>1</v>
      </c>
      <c r="J291" s="958"/>
      <c r="K291" s="53">
        <f t="shared" si="57"/>
        <v>1</v>
      </c>
      <c r="L291" s="958"/>
      <c r="M291" s="53">
        <f t="shared" si="58"/>
        <v>1</v>
      </c>
      <c r="N291" s="958"/>
      <c r="O291" s="53">
        <f t="shared" si="59"/>
        <v>1</v>
      </c>
      <c r="P291" s="958"/>
      <c r="Q291" s="53">
        <f t="shared" si="60"/>
        <v>1</v>
      </c>
      <c r="R291" s="488">
        <f t="shared" si="61"/>
        <v>0</v>
      </c>
      <c r="S291" s="795">
        <f t="shared" si="62"/>
        <v>0</v>
      </c>
    </row>
    <row r="292" spans="1:19">
      <c r="A292" s="960"/>
      <c r="B292" s="137"/>
      <c r="C292" s="53">
        <f t="shared" si="53"/>
        <v>1</v>
      </c>
      <c r="D292" s="958"/>
      <c r="E292" s="53">
        <f t="shared" si="54"/>
        <v>1</v>
      </c>
      <c r="F292" s="958"/>
      <c r="G292" s="53">
        <f t="shared" si="55"/>
        <v>1</v>
      </c>
      <c r="H292" s="958"/>
      <c r="I292" s="53">
        <f t="shared" si="56"/>
        <v>1</v>
      </c>
      <c r="J292" s="958"/>
      <c r="K292" s="53">
        <f t="shared" si="57"/>
        <v>1</v>
      </c>
      <c r="L292" s="958"/>
      <c r="M292" s="53">
        <f t="shared" si="58"/>
        <v>1</v>
      </c>
      <c r="N292" s="958"/>
      <c r="O292" s="53">
        <f t="shared" si="59"/>
        <v>1</v>
      </c>
      <c r="P292" s="958"/>
      <c r="Q292" s="53">
        <f t="shared" si="60"/>
        <v>1</v>
      </c>
      <c r="R292" s="488">
        <f t="shared" si="61"/>
        <v>0</v>
      </c>
      <c r="S292" s="795">
        <f t="shared" si="62"/>
        <v>0</v>
      </c>
    </row>
    <row r="293" spans="1:19">
      <c r="A293" s="960"/>
      <c r="B293" s="137"/>
      <c r="C293" s="53">
        <f t="shared" si="53"/>
        <v>1</v>
      </c>
      <c r="D293" s="958"/>
      <c r="E293" s="53">
        <f t="shared" si="54"/>
        <v>1</v>
      </c>
      <c r="F293" s="958"/>
      <c r="G293" s="53">
        <f t="shared" si="55"/>
        <v>1</v>
      </c>
      <c r="H293" s="958"/>
      <c r="I293" s="53">
        <f t="shared" si="56"/>
        <v>1</v>
      </c>
      <c r="J293" s="958"/>
      <c r="K293" s="53">
        <f t="shared" si="57"/>
        <v>1</v>
      </c>
      <c r="L293" s="958"/>
      <c r="M293" s="53">
        <f t="shared" si="58"/>
        <v>1</v>
      </c>
      <c r="N293" s="958"/>
      <c r="O293" s="53">
        <f t="shared" si="59"/>
        <v>1</v>
      </c>
      <c r="P293" s="958"/>
      <c r="Q293" s="53">
        <f t="shared" si="60"/>
        <v>1</v>
      </c>
      <c r="R293" s="488">
        <f t="shared" si="61"/>
        <v>0</v>
      </c>
      <c r="S293" s="795">
        <f t="shared" si="62"/>
        <v>0</v>
      </c>
    </row>
    <row r="294" spans="1:19">
      <c r="A294" s="960"/>
      <c r="B294" s="137"/>
      <c r="C294" s="53">
        <f t="shared" si="53"/>
        <v>1</v>
      </c>
      <c r="D294" s="958"/>
      <c r="E294" s="53">
        <f t="shared" si="54"/>
        <v>1</v>
      </c>
      <c r="F294" s="958"/>
      <c r="G294" s="53">
        <f t="shared" si="55"/>
        <v>1</v>
      </c>
      <c r="H294" s="958"/>
      <c r="I294" s="53">
        <f t="shared" si="56"/>
        <v>1</v>
      </c>
      <c r="J294" s="958"/>
      <c r="K294" s="53">
        <f t="shared" si="57"/>
        <v>1</v>
      </c>
      <c r="L294" s="958"/>
      <c r="M294" s="53">
        <f t="shared" si="58"/>
        <v>1</v>
      </c>
      <c r="N294" s="958"/>
      <c r="O294" s="53">
        <f t="shared" si="59"/>
        <v>1</v>
      </c>
      <c r="P294" s="958"/>
      <c r="Q294" s="53">
        <f t="shared" si="60"/>
        <v>1</v>
      </c>
      <c r="R294" s="488">
        <f t="shared" si="61"/>
        <v>0</v>
      </c>
      <c r="S294" s="795">
        <f t="shared" si="62"/>
        <v>0</v>
      </c>
    </row>
    <row r="295" spans="1:19">
      <c r="A295" s="960"/>
      <c r="B295" s="137"/>
      <c r="C295" s="53">
        <f t="shared" si="53"/>
        <v>1</v>
      </c>
      <c r="D295" s="958"/>
      <c r="E295" s="53">
        <f t="shared" si="54"/>
        <v>1</v>
      </c>
      <c r="F295" s="958"/>
      <c r="G295" s="53">
        <f t="shared" si="55"/>
        <v>1</v>
      </c>
      <c r="H295" s="958"/>
      <c r="I295" s="53">
        <f t="shared" si="56"/>
        <v>1</v>
      </c>
      <c r="J295" s="958"/>
      <c r="K295" s="53">
        <f t="shared" si="57"/>
        <v>1</v>
      </c>
      <c r="L295" s="958"/>
      <c r="M295" s="53">
        <f t="shared" si="58"/>
        <v>1</v>
      </c>
      <c r="N295" s="958"/>
      <c r="O295" s="53">
        <f t="shared" si="59"/>
        <v>1</v>
      </c>
      <c r="P295" s="958"/>
      <c r="Q295" s="53">
        <f t="shared" si="60"/>
        <v>1</v>
      </c>
      <c r="R295" s="488">
        <f t="shared" si="61"/>
        <v>0</v>
      </c>
      <c r="S295" s="795">
        <f t="shared" si="62"/>
        <v>0</v>
      </c>
    </row>
    <row r="296" spans="1:19">
      <c r="A296" s="960"/>
      <c r="B296" s="137"/>
      <c r="C296" s="53">
        <f t="shared" si="53"/>
        <v>1</v>
      </c>
      <c r="D296" s="958"/>
      <c r="E296" s="53">
        <f t="shared" si="54"/>
        <v>1</v>
      </c>
      <c r="F296" s="958"/>
      <c r="G296" s="53">
        <f t="shared" si="55"/>
        <v>1</v>
      </c>
      <c r="H296" s="958"/>
      <c r="I296" s="53">
        <f t="shared" si="56"/>
        <v>1</v>
      </c>
      <c r="J296" s="958"/>
      <c r="K296" s="53">
        <f t="shared" si="57"/>
        <v>1</v>
      </c>
      <c r="L296" s="958"/>
      <c r="M296" s="53">
        <f t="shared" si="58"/>
        <v>1</v>
      </c>
      <c r="N296" s="958"/>
      <c r="O296" s="53">
        <f t="shared" si="59"/>
        <v>1</v>
      </c>
      <c r="P296" s="958"/>
      <c r="Q296" s="53">
        <f t="shared" si="60"/>
        <v>1</v>
      </c>
      <c r="R296" s="488">
        <f t="shared" si="61"/>
        <v>0</v>
      </c>
      <c r="S296" s="795">
        <f t="shared" si="62"/>
        <v>0</v>
      </c>
    </row>
    <row r="297" spans="1:19">
      <c r="A297" s="960"/>
      <c r="B297" s="137"/>
      <c r="C297" s="53">
        <f t="shared" si="53"/>
        <v>1</v>
      </c>
      <c r="D297" s="958"/>
      <c r="E297" s="53">
        <f t="shared" si="54"/>
        <v>1</v>
      </c>
      <c r="F297" s="958"/>
      <c r="G297" s="53">
        <f t="shared" si="55"/>
        <v>1</v>
      </c>
      <c r="H297" s="958"/>
      <c r="I297" s="53">
        <f t="shared" si="56"/>
        <v>1</v>
      </c>
      <c r="J297" s="958"/>
      <c r="K297" s="53">
        <f t="shared" si="57"/>
        <v>1</v>
      </c>
      <c r="L297" s="958"/>
      <c r="M297" s="53">
        <f t="shared" si="58"/>
        <v>1</v>
      </c>
      <c r="N297" s="958"/>
      <c r="O297" s="53">
        <f t="shared" si="59"/>
        <v>1</v>
      </c>
      <c r="P297" s="958"/>
      <c r="Q297" s="53">
        <f t="shared" si="60"/>
        <v>1</v>
      </c>
      <c r="R297" s="488">
        <f t="shared" si="61"/>
        <v>0</v>
      </c>
      <c r="S297" s="795">
        <f t="shared" si="62"/>
        <v>0</v>
      </c>
    </row>
    <row r="298" spans="1:19">
      <c r="A298" s="960"/>
      <c r="B298" s="137"/>
      <c r="C298" s="53">
        <f t="shared" si="53"/>
        <v>1</v>
      </c>
      <c r="D298" s="958"/>
      <c r="E298" s="53">
        <f t="shared" si="54"/>
        <v>1</v>
      </c>
      <c r="F298" s="958"/>
      <c r="G298" s="53">
        <f t="shared" si="55"/>
        <v>1</v>
      </c>
      <c r="H298" s="958"/>
      <c r="I298" s="53">
        <f t="shared" si="56"/>
        <v>1</v>
      </c>
      <c r="J298" s="958"/>
      <c r="K298" s="53">
        <f t="shared" si="57"/>
        <v>1</v>
      </c>
      <c r="L298" s="958"/>
      <c r="M298" s="53">
        <f t="shared" si="58"/>
        <v>1</v>
      </c>
      <c r="N298" s="958"/>
      <c r="O298" s="53">
        <f t="shared" si="59"/>
        <v>1</v>
      </c>
      <c r="P298" s="958"/>
      <c r="Q298" s="53">
        <f t="shared" si="60"/>
        <v>1</v>
      </c>
      <c r="R298" s="488">
        <f t="shared" si="61"/>
        <v>0</v>
      </c>
      <c r="S298" s="795">
        <f t="shared" si="62"/>
        <v>0</v>
      </c>
    </row>
    <row r="299" spans="1:19">
      <c r="A299" s="960"/>
      <c r="B299" s="137"/>
      <c r="C299" s="53">
        <f t="shared" si="53"/>
        <v>1</v>
      </c>
      <c r="D299" s="958"/>
      <c r="E299" s="53">
        <f t="shared" si="54"/>
        <v>1</v>
      </c>
      <c r="F299" s="958"/>
      <c r="G299" s="53">
        <f t="shared" si="55"/>
        <v>1</v>
      </c>
      <c r="H299" s="958"/>
      <c r="I299" s="53">
        <f t="shared" si="56"/>
        <v>1</v>
      </c>
      <c r="J299" s="958"/>
      <c r="K299" s="53">
        <f t="shared" si="57"/>
        <v>1</v>
      </c>
      <c r="L299" s="958"/>
      <c r="M299" s="53">
        <f t="shared" si="58"/>
        <v>1</v>
      </c>
      <c r="N299" s="958"/>
      <c r="O299" s="53">
        <f t="shared" si="59"/>
        <v>1</v>
      </c>
      <c r="P299" s="958"/>
      <c r="Q299" s="53">
        <f t="shared" si="60"/>
        <v>1</v>
      </c>
      <c r="R299" s="488">
        <f t="shared" si="61"/>
        <v>0</v>
      </c>
      <c r="S299" s="795">
        <f t="shared" si="62"/>
        <v>0</v>
      </c>
    </row>
    <row r="300" spans="1:19">
      <c r="A300" s="960"/>
      <c r="B300" s="137"/>
      <c r="C300" s="53">
        <f t="shared" si="53"/>
        <v>1</v>
      </c>
      <c r="D300" s="958"/>
      <c r="E300" s="53">
        <f t="shared" si="54"/>
        <v>1</v>
      </c>
      <c r="F300" s="958"/>
      <c r="G300" s="53">
        <f t="shared" si="55"/>
        <v>1</v>
      </c>
      <c r="H300" s="958"/>
      <c r="I300" s="53">
        <f t="shared" si="56"/>
        <v>1</v>
      </c>
      <c r="J300" s="958"/>
      <c r="K300" s="53">
        <f t="shared" si="57"/>
        <v>1</v>
      </c>
      <c r="L300" s="958"/>
      <c r="M300" s="53">
        <f t="shared" si="58"/>
        <v>1</v>
      </c>
      <c r="N300" s="958"/>
      <c r="O300" s="53">
        <f t="shared" si="59"/>
        <v>1</v>
      </c>
      <c r="P300" s="958"/>
      <c r="Q300" s="53">
        <f t="shared" si="60"/>
        <v>1</v>
      </c>
      <c r="R300" s="488">
        <f t="shared" si="61"/>
        <v>0</v>
      </c>
      <c r="S300" s="795">
        <f t="shared" si="62"/>
        <v>0</v>
      </c>
    </row>
    <row r="301" spans="1:19">
      <c r="A301" s="960"/>
      <c r="B301" s="137"/>
      <c r="C301" s="53">
        <f t="shared" si="53"/>
        <v>1</v>
      </c>
      <c r="D301" s="958"/>
      <c r="E301" s="53">
        <f t="shared" si="54"/>
        <v>1</v>
      </c>
      <c r="F301" s="958"/>
      <c r="G301" s="53">
        <f t="shared" si="55"/>
        <v>1</v>
      </c>
      <c r="H301" s="958"/>
      <c r="I301" s="53">
        <f t="shared" si="56"/>
        <v>1</v>
      </c>
      <c r="J301" s="958"/>
      <c r="K301" s="53">
        <f t="shared" si="57"/>
        <v>1</v>
      </c>
      <c r="L301" s="958"/>
      <c r="M301" s="53">
        <f t="shared" si="58"/>
        <v>1</v>
      </c>
      <c r="N301" s="958"/>
      <c r="O301" s="53">
        <f t="shared" si="59"/>
        <v>1</v>
      </c>
      <c r="P301" s="958"/>
      <c r="Q301" s="53">
        <f t="shared" si="60"/>
        <v>1</v>
      </c>
      <c r="R301" s="488">
        <f t="shared" si="61"/>
        <v>0</v>
      </c>
      <c r="S301" s="795">
        <f t="shared" si="62"/>
        <v>0</v>
      </c>
    </row>
    <row r="302" spans="1:19">
      <c r="A302" s="960"/>
      <c r="B302" s="137"/>
      <c r="C302" s="53">
        <f t="shared" si="53"/>
        <v>1</v>
      </c>
      <c r="D302" s="958"/>
      <c r="E302" s="53">
        <f t="shared" si="54"/>
        <v>1</v>
      </c>
      <c r="F302" s="958"/>
      <c r="G302" s="53">
        <f t="shared" si="55"/>
        <v>1</v>
      </c>
      <c r="H302" s="958"/>
      <c r="I302" s="53">
        <f t="shared" si="56"/>
        <v>1</v>
      </c>
      <c r="J302" s="958"/>
      <c r="K302" s="53">
        <f t="shared" si="57"/>
        <v>1</v>
      </c>
      <c r="L302" s="958"/>
      <c r="M302" s="53">
        <f t="shared" si="58"/>
        <v>1</v>
      </c>
      <c r="N302" s="958"/>
      <c r="O302" s="53">
        <f t="shared" si="59"/>
        <v>1</v>
      </c>
      <c r="P302" s="958"/>
      <c r="Q302" s="53">
        <f t="shared" si="60"/>
        <v>1</v>
      </c>
      <c r="R302" s="488">
        <f t="shared" si="61"/>
        <v>0</v>
      </c>
      <c r="S302" s="795">
        <f t="shared" si="62"/>
        <v>0</v>
      </c>
    </row>
    <row r="303" spans="1:19">
      <c r="A303" s="960"/>
      <c r="B303" s="137"/>
      <c r="C303" s="53">
        <f t="shared" si="53"/>
        <v>1</v>
      </c>
      <c r="D303" s="958"/>
      <c r="E303" s="53">
        <f t="shared" si="54"/>
        <v>1</v>
      </c>
      <c r="F303" s="958"/>
      <c r="G303" s="53">
        <f t="shared" si="55"/>
        <v>1</v>
      </c>
      <c r="H303" s="958"/>
      <c r="I303" s="53">
        <f t="shared" si="56"/>
        <v>1</v>
      </c>
      <c r="J303" s="958"/>
      <c r="K303" s="53">
        <f t="shared" si="57"/>
        <v>1</v>
      </c>
      <c r="L303" s="958"/>
      <c r="M303" s="53">
        <f t="shared" si="58"/>
        <v>1</v>
      </c>
      <c r="N303" s="958"/>
      <c r="O303" s="53">
        <f t="shared" si="59"/>
        <v>1</v>
      </c>
      <c r="P303" s="958"/>
      <c r="Q303" s="53">
        <f t="shared" si="60"/>
        <v>1</v>
      </c>
      <c r="R303" s="488">
        <f t="shared" si="61"/>
        <v>0</v>
      </c>
      <c r="S303" s="795">
        <f t="shared" si="62"/>
        <v>0</v>
      </c>
    </row>
    <row r="304" spans="1:19">
      <c r="A304" s="960"/>
      <c r="B304" s="137"/>
      <c r="C304" s="53">
        <f t="shared" si="53"/>
        <v>1</v>
      </c>
      <c r="D304" s="958"/>
      <c r="E304" s="53">
        <f t="shared" si="54"/>
        <v>1</v>
      </c>
      <c r="F304" s="958"/>
      <c r="G304" s="53">
        <f t="shared" si="55"/>
        <v>1</v>
      </c>
      <c r="H304" s="958"/>
      <c r="I304" s="53">
        <f t="shared" si="56"/>
        <v>1</v>
      </c>
      <c r="J304" s="958"/>
      <c r="K304" s="53">
        <f t="shared" si="57"/>
        <v>1</v>
      </c>
      <c r="L304" s="958"/>
      <c r="M304" s="53">
        <f t="shared" si="58"/>
        <v>1</v>
      </c>
      <c r="N304" s="958"/>
      <c r="O304" s="53">
        <f t="shared" si="59"/>
        <v>1</v>
      </c>
      <c r="P304" s="958"/>
      <c r="Q304" s="53">
        <f t="shared" si="60"/>
        <v>1</v>
      </c>
      <c r="R304" s="488">
        <f t="shared" si="61"/>
        <v>0</v>
      </c>
      <c r="S304" s="795">
        <f t="shared" si="62"/>
        <v>0</v>
      </c>
    </row>
    <row r="305" spans="1:19">
      <c r="A305" s="960"/>
      <c r="B305" s="137"/>
      <c r="C305" s="53">
        <f t="shared" si="53"/>
        <v>1</v>
      </c>
      <c r="D305" s="958"/>
      <c r="E305" s="53">
        <f t="shared" si="54"/>
        <v>1</v>
      </c>
      <c r="F305" s="958"/>
      <c r="G305" s="53">
        <f t="shared" si="55"/>
        <v>1</v>
      </c>
      <c r="H305" s="958"/>
      <c r="I305" s="53">
        <f t="shared" si="56"/>
        <v>1</v>
      </c>
      <c r="J305" s="958"/>
      <c r="K305" s="53">
        <f t="shared" si="57"/>
        <v>1</v>
      </c>
      <c r="L305" s="958"/>
      <c r="M305" s="53">
        <f t="shared" si="58"/>
        <v>1</v>
      </c>
      <c r="N305" s="958"/>
      <c r="O305" s="53">
        <f t="shared" si="59"/>
        <v>1</v>
      </c>
      <c r="P305" s="958"/>
      <c r="Q305" s="53">
        <f t="shared" si="60"/>
        <v>1</v>
      </c>
      <c r="R305" s="488">
        <f t="shared" si="61"/>
        <v>0</v>
      </c>
      <c r="S305" s="795">
        <f t="shared" si="62"/>
        <v>0</v>
      </c>
    </row>
    <row r="306" spans="1:19">
      <c r="A306" s="960"/>
      <c r="B306" s="137"/>
      <c r="C306" s="53">
        <f t="shared" si="53"/>
        <v>1</v>
      </c>
      <c r="D306" s="958"/>
      <c r="E306" s="53">
        <f t="shared" si="54"/>
        <v>1</v>
      </c>
      <c r="F306" s="958"/>
      <c r="G306" s="53">
        <f t="shared" si="55"/>
        <v>1</v>
      </c>
      <c r="H306" s="958"/>
      <c r="I306" s="53">
        <f t="shared" si="56"/>
        <v>1</v>
      </c>
      <c r="J306" s="958"/>
      <c r="K306" s="53">
        <f t="shared" si="57"/>
        <v>1</v>
      </c>
      <c r="L306" s="958"/>
      <c r="M306" s="53">
        <f t="shared" si="58"/>
        <v>1</v>
      </c>
      <c r="N306" s="958"/>
      <c r="O306" s="53">
        <f t="shared" si="59"/>
        <v>1</v>
      </c>
      <c r="P306" s="958"/>
      <c r="Q306" s="53">
        <f t="shared" si="60"/>
        <v>1</v>
      </c>
      <c r="R306" s="488">
        <f t="shared" si="61"/>
        <v>0</v>
      </c>
      <c r="S306" s="795">
        <f t="shared" si="62"/>
        <v>0</v>
      </c>
    </row>
    <row r="307" spans="1:19">
      <c r="A307" s="960"/>
      <c r="B307" s="137"/>
      <c r="C307" s="53">
        <f t="shared" si="53"/>
        <v>1</v>
      </c>
      <c r="D307" s="958"/>
      <c r="E307" s="53">
        <f t="shared" si="54"/>
        <v>1</v>
      </c>
      <c r="F307" s="958"/>
      <c r="G307" s="53">
        <f t="shared" si="55"/>
        <v>1</v>
      </c>
      <c r="H307" s="958"/>
      <c r="I307" s="53">
        <f t="shared" si="56"/>
        <v>1</v>
      </c>
      <c r="J307" s="958"/>
      <c r="K307" s="53">
        <f t="shared" si="57"/>
        <v>1</v>
      </c>
      <c r="L307" s="958"/>
      <c r="M307" s="53">
        <f t="shared" si="58"/>
        <v>1</v>
      </c>
      <c r="N307" s="958"/>
      <c r="O307" s="53">
        <f t="shared" si="59"/>
        <v>1</v>
      </c>
      <c r="P307" s="958"/>
      <c r="Q307" s="53">
        <f t="shared" si="60"/>
        <v>1</v>
      </c>
      <c r="R307" s="488">
        <f t="shared" si="61"/>
        <v>0</v>
      </c>
      <c r="S307" s="795">
        <f t="shared" si="62"/>
        <v>0</v>
      </c>
    </row>
    <row r="308" spans="1:19">
      <c r="A308" s="960"/>
      <c r="B308" s="137"/>
      <c r="C308" s="53">
        <f t="shared" si="53"/>
        <v>1</v>
      </c>
      <c r="D308" s="958"/>
      <c r="E308" s="53">
        <f t="shared" si="54"/>
        <v>1</v>
      </c>
      <c r="F308" s="958"/>
      <c r="G308" s="53">
        <f t="shared" si="55"/>
        <v>1</v>
      </c>
      <c r="H308" s="958"/>
      <c r="I308" s="53">
        <f t="shared" si="56"/>
        <v>1</v>
      </c>
      <c r="J308" s="958"/>
      <c r="K308" s="53">
        <f t="shared" si="57"/>
        <v>1</v>
      </c>
      <c r="L308" s="958"/>
      <c r="M308" s="53">
        <f t="shared" si="58"/>
        <v>1</v>
      </c>
      <c r="N308" s="958"/>
      <c r="O308" s="53">
        <f t="shared" si="59"/>
        <v>1</v>
      </c>
      <c r="P308" s="958"/>
      <c r="Q308" s="53">
        <f t="shared" si="60"/>
        <v>1</v>
      </c>
      <c r="R308" s="488">
        <f t="shared" si="61"/>
        <v>0</v>
      </c>
      <c r="S308" s="795">
        <f t="shared" si="62"/>
        <v>0</v>
      </c>
    </row>
    <row r="309" spans="1:19">
      <c r="A309" s="960"/>
      <c r="B309" s="137"/>
      <c r="C309" s="53">
        <f t="shared" si="53"/>
        <v>1</v>
      </c>
      <c r="D309" s="958"/>
      <c r="E309" s="53">
        <f t="shared" si="54"/>
        <v>1</v>
      </c>
      <c r="F309" s="958"/>
      <c r="G309" s="53">
        <f t="shared" si="55"/>
        <v>1</v>
      </c>
      <c r="H309" s="958"/>
      <c r="I309" s="53">
        <f t="shared" si="56"/>
        <v>1</v>
      </c>
      <c r="J309" s="958"/>
      <c r="K309" s="53">
        <f t="shared" si="57"/>
        <v>1</v>
      </c>
      <c r="L309" s="958"/>
      <c r="M309" s="53">
        <f t="shared" si="58"/>
        <v>1</v>
      </c>
      <c r="N309" s="958"/>
      <c r="O309" s="53">
        <f t="shared" si="59"/>
        <v>1</v>
      </c>
      <c r="P309" s="958"/>
      <c r="Q309" s="53">
        <f t="shared" si="60"/>
        <v>1</v>
      </c>
      <c r="R309" s="488">
        <f t="shared" si="61"/>
        <v>0</v>
      </c>
      <c r="S309" s="795">
        <f t="shared" si="62"/>
        <v>0</v>
      </c>
    </row>
    <row r="310" spans="1:19">
      <c r="A310" s="960"/>
      <c r="B310" s="137"/>
      <c r="C310" s="53">
        <f t="shared" si="53"/>
        <v>1</v>
      </c>
      <c r="D310" s="958"/>
      <c r="E310" s="53">
        <f t="shared" si="54"/>
        <v>1</v>
      </c>
      <c r="F310" s="958"/>
      <c r="G310" s="53">
        <f t="shared" si="55"/>
        <v>1</v>
      </c>
      <c r="H310" s="958"/>
      <c r="I310" s="53">
        <f t="shared" si="56"/>
        <v>1</v>
      </c>
      <c r="J310" s="958"/>
      <c r="K310" s="53">
        <f t="shared" si="57"/>
        <v>1</v>
      </c>
      <c r="L310" s="958"/>
      <c r="M310" s="53">
        <f t="shared" si="58"/>
        <v>1</v>
      </c>
      <c r="N310" s="958"/>
      <c r="O310" s="53">
        <f t="shared" si="59"/>
        <v>1</v>
      </c>
      <c r="P310" s="958"/>
      <c r="Q310" s="53">
        <f t="shared" si="60"/>
        <v>1</v>
      </c>
      <c r="R310" s="488">
        <f t="shared" si="61"/>
        <v>0</v>
      </c>
      <c r="S310" s="795">
        <f t="shared" si="62"/>
        <v>0</v>
      </c>
    </row>
    <row r="311" spans="1:19">
      <c r="A311" s="960"/>
      <c r="B311" s="137"/>
      <c r="C311" s="53">
        <f t="shared" si="53"/>
        <v>1</v>
      </c>
      <c r="D311" s="958"/>
      <c r="E311" s="53">
        <f t="shared" si="54"/>
        <v>1</v>
      </c>
      <c r="F311" s="958"/>
      <c r="G311" s="53">
        <f t="shared" si="55"/>
        <v>1</v>
      </c>
      <c r="H311" s="958"/>
      <c r="I311" s="53">
        <f t="shared" si="56"/>
        <v>1</v>
      </c>
      <c r="J311" s="958"/>
      <c r="K311" s="53">
        <f t="shared" si="57"/>
        <v>1</v>
      </c>
      <c r="L311" s="958"/>
      <c r="M311" s="53">
        <f t="shared" si="58"/>
        <v>1</v>
      </c>
      <c r="N311" s="958"/>
      <c r="O311" s="53">
        <f t="shared" si="59"/>
        <v>1</v>
      </c>
      <c r="P311" s="958"/>
      <c r="Q311" s="53">
        <f t="shared" si="60"/>
        <v>1</v>
      </c>
      <c r="R311" s="488">
        <f t="shared" si="61"/>
        <v>0</v>
      </c>
      <c r="S311" s="795">
        <f t="shared" si="62"/>
        <v>0</v>
      </c>
    </row>
    <row r="312" spans="1:19">
      <c r="A312" s="960"/>
      <c r="B312" s="137"/>
      <c r="C312" s="53">
        <f t="shared" si="53"/>
        <v>1</v>
      </c>
      <c r="D312" s="958"/>
      <c r="E312" s="53">
        <f t="shared" si="54"/>
        <v>1</v>
      </c>
      <c r="F312" s="958"/>
      <c r="G312" s="53">
        <f t="shared" si="55"/>
        <v>1</v>
      </c>
      <c r="H312" s="958"/>
      <c r="I312" s="53">
        <f t="shared" si="56"/>
        <v>1</v>
      </c>
      <c r="J312" s="958"/>
      <c r="K312" s="53">
        <f t="shared" si="57"/>
        <v>1</v>
      </c>
      <c r="L312" s="958"/>
      <c r="M312" s="53">
        <f t="shared" si="58"/>
        <v>1</v>
      </c>
      <c r="N312" s="958"/>
      <c r="O312" s="53">
        <f t="shared" si="59"/>
        <v>1</v>
      </c>
      <c r="P312" s="958"/>
      <c r="Q312" s="53">
        <f t="shared" si="60"/>
        <v>1</v>
      </c>
      <c r="R312" s="488">
        <f t="shared" si="61"/>
        <v>0</v>
      </c>
      <c r="S312" s="795">
        <f t="shared" si="62"/>
        <v>0</v>
      </c>
    </row>
    <row r="313" spans="1:19">
      <c r="A313" s="960"/>
      <c r="B313" s="137"/>
      <c r="C313" s="53">
        <f t="shared" si="53"/>
        <v>1</v>
      </c>
      <c r="D313" s="958"/>
      <c r="E313" s="53">
        <f t="shared" si="54"/>
        <v>1</v>
      </c>
      <c r="F313" s="958"/>
      <c r="G313" s="53">
        <f t="shared" si="55"/>
        <v>1</v>
      </c>
      <c r="H313" s="958"/>
      <c r="I313" s="53">
        <f t="shared" si="56"/>
        <v>1</v>
      </c>
      <c r="J313" s="958"/>
      <c r="K313" s="53">
        <f t="shared" si="57"/>
        <v>1</v>
      </c>
      <c r="L313" s="958"/>
      <c r="M313" s="53">
        <f t="shared" si="58"/>
        <v>1</v>
      </c>
      <c r="N313" s="958"/>
      <c r="O313" s="53">
        <f t="shared" si="59"/>
        <v>1</v>
      </c>
      <c r="P313" s="958"/>
      <c r="Q313" s="53">
        <f t="shared" si="60"/>
        <v>1</v>
      </c>
      <c r="R313" s="488">
        <f t="shared" si="61"/>
        <v>0</v>
      </c>
      <c r="S313" s="795">
        <f t="shared" si="62"/>
        <v>0</v>
      </c>
    </row>
    <row r="314" spans="1:19">
      <c r="A314" s="960"/>
      <c r="B314" s="137"/>
      <c r="C314" s="53">
        <f t="shared" si="53"/>
        <v>1</v>
      </c>
      <c r="D314" s="958"/>
      <c r="E314" s="53">
        <f t="shared" si="54"/>
        <v>1</v>
      </c>
      <c r="F314" s="958"/>
      <c r="G314" s="53">
        <f t="shared" si="55"/>
        <v>1</v>
      </c>
      <c r="H314" s="958"/>
      <c r="I314" s="53">
        <f t="shared" si="56"/>
        <v>1</v>
      </c>
      <c r="J314" s="958"/>
      <c r="K314" s="53">
        <f t="shared" si="57"/>
        <v>1</v>
      </c>
      <c r="L314" s="958"/>
      <c r="M314" s="53">
        <f t="shared" si="58"/>
        <v>1</v>
      </c>
      <c r="N314" s="958"/>
      <c r="O314" s="53">
        <f t="shared" si="59"/>
        <v>1</v>
      </c>
      <c r="P314" s="958"/>
      <c r="Q314" s="53">
        <f t="shared" si="60"/>
        <v>1</v>
      </c>
      <c r="R314" s="488">
        <f t="shared" si="61"/>
        <v>0</v>
      </c>
      <c r="S314" s="795">
        <f t="shared" si="62"/>
        <v>0</v>
      </c>
    </row>
    <row r="315" spans="1:19">
      <c r="A315" s="960"/>
      <c r="B315" s="137"/>
      <c r="C315" s="53">
        <f t="shared" si="53"/>
        <v>1</v>
      </c>
      <c r="D315" s="958"/>
      <c r="E315" s="53">
        <f t="shared" si="54"/>
        <v>1</v>
      </c>
      <c r="F315" s="958"/>
      <c r="G315" s="53">
        <f t="shared" si="55"/>
        <v>1</v>
      </c>
      <c r="H315" s="958"/>
      <c r="I315" s="53">
        <f t="shared" si="56"/>
        <v>1</v>
      </c>
      <c r="J315" s="958"/>
      <c r="K315" s="53">
        <f t="shared" si="57"/>
        <v>1</v>
      </c>
      <c r="L315" s="958"/>
      <c r="M315" s="53">
        <f t="shared" si="58"/>
        <v>1</v>
      </c>
      <c r="N315" s="958"/>
      <c r="O315" s="53">
        <f t="shared" si="59"/>
        <v>1</v>
      </c>
      <c r="P315" s="958"/>
      <c r="Q315" s="53">
        <f t="shared" si="60"/>
        <v>1</v>
      </c>
      <c r="R315" s="488">
        <f t="shared" si="61"/>
        <v>0</v>
      </c>
      <c r="S315" s="795">
        <f t="shared" si="62"/>
        <v>0</v>
      </c>
    </row>
    <row r="316" spans="1:19">
      <c r="A316" s="960"/>
      <c r="B316" s="137"/>
      <c r="C316" s="53">
        <f t="shared" si="53"/>
        <v>1</v>
      </c>
      <c r="D316" s="958"/>
      <c r="E316" s="53">
        <f t="shared" si="54"/>
        <v>1</v>
      </c>
      <c r="F316" s="958"/>
      <c r="G316" s="53">
        <f t="shared" si="55"/>
        <v>1</v>
      </c>
      <c r="H316" s="958"/>
      <c r="I316" s="53">
        <f t="shared" si="56"/>
        <v>1</v>
      </c>
      <c r="J316" s="958"/>
      <c r="K316" s="53">
        <f t="shared" si="57"/>
        <v>1</v>
      </c>
      <c r="L316" s="958"/>
      <c r="M316" s="53">
        <f t="shared" si="58"/>
        <v>1</v>
      </c>
      <c r="N316" s="958"/>
      <c r="O316" s="53">
        <f t="shared" si="59"/>
        <v>1</v>
      </c>
      <c r="P316" s="958"/>
      <c r="Q316" s="53">
        <f t="shared" si="60"/>
        <v>1</v>
      </c>
      <c r="R316" s="488">
        <f t="shared" si="61"/>
        <v>0</v>
      </c>
      <c r="S316" s="795">
        <f t="shared" si="62"/>
        <v>0</v>
      </c>
    </row>
    <row r="317" spans="1:19">
      <c r="A317" s="960"/>
      <c r="B317" s="137"/>
      <c r="C317" s="53">
        <f t="shared" si="53"/>
        <v>1</v>
      </c>
      <c r="D317" s="958"/>
      <c r="E317" s="53">
        <f t="shared" si="54"/>
        <v>1</v>
      </c>
      <c r="F317" s="958"/>
      <c r="G317" s="53">
        <f t="shared" si="55"/>
        <v>1</v>
      </c>
      <c r="H317" s="958"/>
      <c r="I317" s="53">
        <f t="shared" si="56"/>
        <v>1</v>
      </c>
      <c r="J317" s="958"/>
      <c r="K317" s="53">
        <f t="shared" si="57"/>
        <v>1</v>
      </c>
      <c r="L317" s="958"/>
      <c r="M317" s="53">
        <f t="shared" si="58"/>
        <v>1</v>
      </c>
      <c r="N317" s="958"/>
      <c r="O317" s="53">
        <f t="shared" si="59"/>
        <v>1</v>
      </c>
      <c r="P317" s="958"/>
      <c r="Q317" s="53">
        <f t="shared" si="60"/>
        <v>1</v>
      </c>
      <c r="R317" s="488">
        <f t="shared" si="61"/>
        <v>0</v>
      </c>
      <c r="S317" s="795">
        <f t="shared" si="62"/>
        <v>0</v>
      </c>
    </row>
    <row r="318" spans="1:19">
      <c r="A318" s="960"/>
      <c r="B318" s="137"/>
      <c r="C318" s="53">
        <f t="shared" si="53"/>
        <v>1</v>
      </c>
      <c r="D318" s="958"/>
      <c r="E318" s="53">
        <f t="shared" si="54"/>
        <v>1</v>
      </c>
      <c r="F318" s="958"/>
      <c r="G318" s="53">
        <f t="shared" si="55"/>
        <v>1</v>
      </c>
      <c r="H318" s="958"/>
      <c r="I318" s="53">
        <f t="shared" si="56"/>
        <v>1</v>
      </c>
      <c r="J318" s="958"/>
      <c r="K318" s="53">
        <f t="shared" si="57"/>
        <v>1</v>
      </c>
      <c r="L318" s="958"/>
      <c r="M318" s="53">
        <f t="shared" si="58"/>
        <v>1</v>
      </c>
      <c r="N318" s="958"/>
      <c r="O318" s="53">
        <f t="shared" si="59"/>
        <v>1</v>
      </c>
      <c r="P318" s="958"/>
      <c r="Q318" s="53">
        <f t="shared" si="60"/>
        <v>1</v>
      </c>
      <c r="R318" s="488">
        <f t="shared" si="61"/>
        <v>0</v>
      </c>
      <c r="S318" s="795">
        <f t="shared" si="62"/>
        <v>0</v>
      </c>
    </row>
    <row r="319" spans="1:19">
      <c r="A319" s="960"/>
      <c r="B319" s="137"/>
      <c r="C319" s="53">
        <f t="shared" si="53"/>
        <v>1</v>
      </c>
      <c r="D319" s="958"/>
      <c r="E319" s="53">
        <f t="shared" si="54"/>
        <v>1</v>
      </c>
      <c r="F319" s="958"/>
      <c r="G319" s="53">
        <f t="shared" si="55"/>
        <v>1</v>
      </c>
      <c r="H319" s="958"/>
      <c r="I319" s="53">
        <f t="shared" si="56"/>
        <v>1</v>
      </c>
      <c r="J319" s="958"/>
      <c r="K319" s="53">
        <f t="shared" si="57"/>
        <v>1</v>
      </c>
      <c r="L319" s="958"/>
      <c r="M319" s="53">
        <f t="shared" si="58"/>
        <v>1</v>
      </c>
      <c r="N319" s="958"/>
      <c r="O319" s="53">
        <f t="shared" si="59"/>
        <v>1</v>
      </c>
      <c r="P319" s="958"/>
      <c r="Q319" s="53">
        <f t="shared" si="60"/>
        <v>1</v>
      </c>
      <c r="R319" s="488">
        <f t="shared" si="61"/>
        <v>0</v>
      </c>
      <c r="S319" s="795">
        <f t="shared" si="62"/>
        <v>0</v>
      </c>
    </row>
    <row r="320" spans="1:19">
      <c r="A320" s="960"/>
      <c r="B320" s="137"/>
      <c r="C320" s="53">
        <f t="shared" si="53"/>
        <v>1</v>
      </c>
      <c r="D320" s="958"/>
      <c r="E320" s="53">
        <f t="shared" si="54"/>
        <v>1</v>
      </c>
      <c r="F320" s="958"/>
      <c r="G320" s="53">
        <f t="shared" si="55"/>
        <v>1</v>
      </c>
      <c r="H320" s="958"/>
      <c r="I320" s="53">
        <f t="shared" si="56"/>
        <v>1</v>
      </c>
      <c r="J320" s="958"/>
      <c r="K320" s="53">
        <f t="shared" si="57"/>
        <v>1</v>
      </c>
      <c r="L320" s="958"/>
      <c r="M320" s="53">
        <f t="shared" si="58"/>
        <v>1</v>
      </c>
      <c r="N320" s="958"/>
      <c r="O320" s="53">
        <f t="shared" si="59"/>
        <v>1</v>
      </c>
      <c r="P320" s="958"/>
      <c r="Q320" s="53">
        <f t="shared" si="60"/>
        <v>1</v>
      </c>
      <c r="R320" s="488">
        <f t="shared" si="61"/>
        <v>0</v>
      </c>
      <c r="S320" s="795">
        <f t="shared" si="62"/>
        <v>0</v>
      </c>
    </row>
    <row r="321" spans="1:19">
      <c r="A321" s="960"/>
      <c r="B321" s="137"/>
      <c r="C321" s="53">
        <f t="shared" si="53"/>
        <v>1</v>
      </c>
      <c r="D321" s="958"/>
      <c r="E321" s="53">
        <f t="shared" si="54"/>
        <v>1</v>
      </c>
      <c r="F321" s="958"/>
      <c r="G321" s="53">
        <f t="shared" si="55"/>
        <v>1</v>
      </c>
      <c r="H321" s="958"/>
      <c r="I321" s="53">
        <f t="shared" si="56"/>
        <v>1</v>
      </c>
      <c r="J321" s="958"/>
      <c r="K321" s="53">
        <f t="shared" si="57"/>
        <v>1</v>
      </c>
      <c r="L321" s="958"/>
      <c r="M321" s="53">
        <f t="shared" si="58"/>
        <v>1</v>
      </c>
      <c r="N321" s="958"/>
      <c r="O321" s="53">
        <f t="shared" si="59"/>
        <v>1</v>
      </c>
      <c r="P321" s="958"/>
      <c r="Q321" s="53">
        <f t="shared" si="60"/>
        <v>1</v>
      </c>
      <c r="R321" s="488">
        <f t="shared" si="61"/>
        <v>0</v>
      </c>
      <c r="S321" s="795">
        <f t="shared" ref="S321:S384" si="63">ROUND(R321*B321/10000,0)</f>
        <v>0</v>
      </c>
    </row>
    <row r="322" spans="1:19">
      <c r="A322" s="960"/>
      <c r="B322" s="137"/>
      <c r="C322" s="53">
        <f t="shared" si="53"/>
        <v>1</v>
      </c>
      <c r="D322" s="958"/>
      <c r="E322" s="53">
        <f t="shared" si="54"/>
        <v>1</v>
      </c>
      <c r="F322" s="958"/>
      <c r="G322" s="53">
        <f t="shared" si="55"/>
        <v>1</v>
      </c>
      <c r="H322" s="958"/>
      <c r="I322" s="53">
        <f t="shared" si="56"/>
        <v>1</v>
      </c>
      <c r="J322" s="958"/>
      <c r="K322" s="53">
        <f t="shared" si="57"/>
        <v>1</v>
      </c>
      <c r="L322" s="958"/>
      <c r="M322" s="53">
        <f t="shared" si="58"/>
        <v>1</v>
      </c>
      <c r="N322" s="958"/>
      <c r="O322" s="53">
        <f t="shared" si="59"/>
        <v>1</v>
      </c>
      <c r="P322" s="958"/>
      <c r="Q322" s="53">
        <f t="shared" si="60"/>
        <v>1</v>
      </c>
      <c r="R322" s="488">
        <f t="shared" si="61"/>
        <v>0</v>
      </c>
      <c r="S322" s="795">
        <f t="shared" si="63"/>
        <v>0</v>
      </c>
    </row>
    <row r="323" spans="1:19">
      <c r="A323" s="960"/>
      <c r="B323" s="137"/>
      <c r="C323" s="53">
        <f t="shared" si="53"/>
        <v>1</v>
      </c>
      <c r="D323" s="958"/>
      <c r="E323" s="53">
        <f t="shared" si="54"/>
        <v>1</v>
      </c>
      <c r="F323" s="958"/>
      <c r="G323" s="53">
        <f t="shared" si="55"/>
        <v>1</v>
      </c>
      <c r="H323" s="958"/>
      <c r="I323" s="53">
        <f t="shared" si="56"/>
        <v>1</v>
      </c>
      <c r="J323" s="958"/>
      <c r="K323" s="53">
        <f t="shared" si="57"/>
        <v>1</v>
      </c>
      <c r="L323" s="958"/>
      <c r="M323" s="53">
        <f t="shared" si="58"/>
        <v>1</v>
      </c>
      <c r="N323" s="958"/>
      <c r="O323" s="53">
        <f t="shared" si="59"/>
        <v>1</v>
      </c>
      <c r="P323" s="958"/>
      <c r="Q323" s="53">
        <f t="shared" si="60"/>
        <v>1</v>
      </c>
      <c r="R323" s="488">
        <f t="shared" si="61"/>
        <v>0</v>
      </c>
      <c r="S323" s="795">
        <f t="shared" si="63"/>
        <v>0</v>
      </c>
    </row>
    <row r="324" spans="1:19">
      <c r="A324" s="960"/>
      <c r="B324" s="137"/>
      <c r="C324" s="53">
        <f t="shared" si="53"/>
        <v>1</v>
      </c>
      <c r="D324" s="958"/>
      <c r="E324" s="53">
        <f t="shared" si="54"/>
        <v>1</v>
      </c>
      <c r="F324" s="958"/>
      <c r="G324" s="53">
        <f t="shared" si="55"/>
        <v>1</v>
      </c>
      <c r="H324" s="958"/>
      <c r="I324" s="53">
        <f t="shared" si="56"/>
        <v>1</v>
      </c>
      <c r="J324" s="958"/>
      <c r="K324" s="53">
        <f t="shared" si="57"/>
        <v>1</v>
      </c>
      <c r="L324" s="958"/>
      <c r="M324" s="53">
        <f t="shared" si="58"/>
        <v>1</v>
      </c>
      <c r="N324" s="958"/>
      <c r="O324" s="53">
        <f t="shared" si="59"/>
        <v>1</v>
      </c>
      <c r="P324" s="958"/>
      <c r="Q324" s="53">
        <f t="shared" si="60"/>
        <v>1</v>
      </c>
      <c r="R324" s="488">
        <f t="shared" si="61"/>
        <v>0</v>
      </c>
      <c r="S324" s="795">
        <f t="shared" si="63"/>
        <v>0</v>
      </c>
    </row>
    <row r="325" spans="1:19">
      <c r="A325" s="960"/>
      <c r="B325" s="137"/>
      <c r="C325" s="53">
        <f t="shared" si="53"/>
        <v>1</v>
      </c>
      <c r="D325" s="958"/>
      <c r="E325" s="53">
        <f t="shared" si="54"/>
        <v>1</v>
      </c>
      <c r="F325" s="958"/>
      <c r="G325" s="53">
        <f t="shared" si="55"/>
        <v>1</v>
      </c>
      <c r="H325" s="958"/>
      <c r="I325" s="53">
        <f t="shared" si="56"/>
        <v>1</v>
      </c>
      <c r="J325" s="958"/>
      <c r="K325" s="53">
        <f t="shared" si="57"/>
        <v>1</v>
      </c>
      <c r="L325" s="958"/>
      <c r="M325" s="53">
        <f t="shared" si="58"/>
        <v>1</v>
      </c>
      <c r="N325" s="958"/>
      <c r="O325" s="53">
        <f t="shared" si="59"/>
        <v>1</v>
      </c>
      <c r="P325" s="958"/>
      <c r="Q325" s="53">
        <f t="shared" si="60"/>
        <v>1</v>
      </c>
      <c r="R325" s="488">
        <f t="shared" si="61"/>
        <v>0</v>
      </c>
      <c r="S325" s="795">
        <f t="shared" si="63"/>
        <v>0</v>
      </c>
    </row>
    <row r="326" spans="1:19">
      <c r="A326" s="960"/>
      <c r="B326" s="137"/>
      <c r="C326" s="53">
        <f t="shared" si="53"/>
        <v>1</v>
      </c>
      <c r="D326" s="958"/>
      <c r="E326" s="53">
        <f t="shared" si="54"/>
        <v>1</v>
      </c>
      <c r="F326" s="958"/>
      <c r="G326" s="53">
        <f t="shared" si="55"/>
        <v>1</v>
      </c>
      <c r="H326" s="958"/>
      <c r="I326" s="53">
        <f t="shared" si="56"/>
        <v>1</v>
      </c>
      <c r="J326" s="958"/>
      <c r="K326" s="53">
        <f t="shared" si="57"/>
        <v>1</v>
      </c>
      <c r="L326" s="958"/>
      <c r="M326" s="53">
        <f t="shared" si="58"/>
        <v>1</v>
      </c>
      <c r="N326" s="958"/>
      <c r="O326" s="53">
        <f t="shared" si="59"/>
        <v>1</v>
      </c>
      <c r="P326" s="958"/>
      <c r="Q326" s="53">
        <f t="shared" si="60"/>
        <v>1</v>
      </c>
      <c r="R326" s="488">
        <f t="shared" si="61"/>
        <v>0</v>
      </c>
      <c r="S326" s="795">
        <f t="shared" si="63"/>
        <v>0</v>
      </c>
    </row>
    <row r="327" spans="1:19">
      <c r="A327" s="960"/>
      <c r="B327" s="137"/>
      <c r="C327" s="53">
        <f t="shared" si="53"/>
        <v>1</v>
      </c>
      <c r="D327" s="958"/>
      <c r="E327" s="53">
        <f t="shared" si="54"/>
        <v>1</v>
      </c>
      <c r="F327" s="958"/>
      <c r="G327" s="53">
        <f t="shared" si="55"/>
        <v>1</v>
      </c>
      <c r="H327" s="958"/>
      <c r="I327" s="53">
        <f t="shared" si="56"/>
        <v>1</v>
      </c>
      <c r="J327" s="958"/>
      <c r="K327" s="53">
        <f t="shared" si="57"/>
        <v>1</v>
      </c>
      <c r="L327" s="958"/>
      <c r="M327" s="53">
        <f t="shared" si="58"/>
        <v>1</v>
      </c>
      <c r="N327" s="958"/>
      <c r="O327" s="53">
        <f t="shared" si="59"/>
        <v>1</v>
      </c>
      <c r="P327" s="958"/>
      <c r="Q327" s="53">
        <f t="shared" si="60"/>
        <v>1</v>
      </c>
      <c r="R327" s="488">
        <f t="shared" si="61"/>
        <v>0</v>
      </c>
      <c r="S327" s="795">
        <f t="shared" si="63"/>
        <v>0</v>
      </c>
    </row>
    <row r="328" spans="1:19">
      <c r="A328" s="960"/>
      <c r="B328" s="137"/>
      <c r="C328" s="53">
        <f t="shared" si="53"/>
        <v>1</v>
      </c>
      <c r="D328" s="958"/>
      <c r="E328" s="53">
        <f t="shared" si="54"/>
        <v>1</v>
      </c>
      <c r="F328" s="958"/>
      <c r="G328" s="53">
        <f t="shared" si="55"/>
        <v>1</v>
      </c>
      <c r="H328" s="958"/>
      <c r="I328" s="53">
        <f t="shared" si="56"/>
        <v>1</v>
      </c>
      <c r="J328" s="958"/>
      <c r="K328" s="53">
        <f t="shared" si="57"/>
        <v>1</v>
      </c>
      <c r="L328" s="958"/>
      <c r="M328" s="53">
        <f t="shared" si="58"/>
        <v>1</v>
      </c>
      <c r="N328" s="958"/>
      <c r="O328" s="53">
        <f t="shared" si="59"/>
        <v>1</v>
      </c>
      <c r="P328" s="958"/>
      <c r="Q328" s="53">
        <f t="shared" si="60"/>
        <v>1</v>
      </c>
      <c r="R328" s="488">
        <f t="shared" si="61"/>
        <v>0</v>
      </c>
      <c r="S328" s="795">
        <f t="shared" si="63"/>
        <v>0</v>
      </c>
    </row>
    <row r="329" spans="1:19">
      <c r="A329" s="960"/>
      <c r="B329" s="137"/>
      <c r="C329" s="53">
        <f t="shared" si="53"/>
        <v>1</v>
      </c>
      <c r="D329" s="958"/>
      <c r="E329" s="53">
        <f t="shared" si="54"/>
        <v>1</v>
      </c>
      <c r="F329" s="958"/>
      <c r="G329" s="53">
        <f t="shared" si="55"/>
        <v>1</v>
      </c>
      <c r="H329" s="958"/>
      <c r="I329" s="53">
        <f t="shared" si="56"/>
        <v>1</v>
      </c>
      <c r="J329" s="958"/>
      <c r="K329" s="53">
        <f t="shared" si="57"/>
        <v>1</v>
      </c>
      <c r="L329" s="958"/>
      <c r="M329" s="53">
        <f t="shared" si="58"/>
        <v>1</v>
      </c>
      <c r="N329" s="958"/>
      <c r="O329" s="53">
        <f t="shared" si="59"/>
        <v>1</v>
      </c>
      <c r="P329" s="958"/>
      <c r="Q329" s="53">
        <f t="shared" si="60"/>
        <v>1</v>
      </c>
      <c r="R329" s="488">
        <f t="shared" si="61"/>
        <v>0</v>
      </c>
      <c r="S329" s="795">
        <f t="shared" si="63"/>
        <v>0</v>
      </c>
    </row>
    <row r="330" spans="1:19">
      <c r="A330" s="960"/>
      <c r="B330" s="137"/>
      <c r="C330" s="53">
        <f t="shared" si="53"/>
        <v>1</v>
      </c>
      <c r="D330" s="958"/>
      <c r="E330" s="53">
        <f t="shared" si="54"/>
        <v>1</v>
      </c>
      <c r="F330" s="958"/>
      <c r="G330" s="53">
        <f t="shared" si="55"/>
        <v>1</v>
      </c>
      <c r="H330" s="958"/>
      <c r="I330" s="53">
        <f t="shared" si="56"/>
        <v>1</v>
      </c>
      <c r="J330" s="958"/>
      <c r="K330" s="53">
        <f t="shared" si="57"/>
        <v>1</v>
      </c>
      <c r="L330" s="958"/>
      <c r="M330" s="53">
        <f t="shared" si="58"/>
        <v>1</v>
      </c>
      <c r="N330" s="958"/>
      <c r="O330" s="53">
        <f t="shared" si="59"/>
        <v>1</v>
      </c>
      <c r="P330" s="958"/>
      <c r="Q330" s="53">
        <f t="shared" si="60"/>
        <v>1</v>
      </c>
      <c r="R330" s="488">
        <f t="shared" si="61"/>
        <v>0</v>
      </c>
      <c r="S330" s="795">
        <f t="shared" si="63"/>
        <v>0</v>
      </c>
    </row>
    <row r="331" spans="1:19">
      <c r="A331" s="960"/>
      <c r="B331" s="137"/>
      <c r="C331" s="53">
        <f t="shared" si="53"/>
        <v>1</v>
      </c>
      <c r="D331" s="958"/>
      <c r="E331" s="53">
        <f t="shared" si="54"/>
        <v>1</v>
      </c>
      <c r="F331" s="958"/>
      <c r="G331" s="53">
        <f t="shared" si="55"/>
        <v>1</v>
      </c>
      <c r="H331" s="958"/>
      <c r="I331" s="53">
        <f t="shared" si="56"/>
        <v>1</v>
      </c>
      <c r="J331" s="958"/>
      <c r="K331" s="53">
        <f t="shared" si="57"/>
        <v>1</v>
      </c>
      <c r="L331" s="958"/>
      <c r="M331" s="53">
        <f t="shared" si="58"/>
        <v>1</v>
      </c>
      <c r="N331" s="958"/>
      <c r="O331" s="53">
        <f t="shared" si="59"/>
        <v>1</v>
      </c>
      <c r="P331" s="958"/>
      <c r="Q331" s="53">
        <f t="shared" si="60"/>
        <v>1</v>
      </c>
      <c r="R331" s="488">
        <f t="shared" si="61"/>
        <v>0</v>
      </c>
      <c r="S331" s="795">
        <f t="shared" si="63"/>
        <v>0</v>
      </c>
    </row>
    <row r="332" spans="1:19">
      <c r="A332" s="960"/>
      <c r="B332" s="137"/>
      <c r="C332" s="53">
        <f t="shared" si="53"/>
        <v>1</v>
      </c>
      <c r="D332" s="958"/>
      <c r="E332" s="53">
        <f t="shared" si="54"/>
        <v>1</v>
      </c>
      <c r="F332" s="958"/>
      <c r="G332" s="53">
        <f t="shared" si="55"/>
        <v>1</v>
      </c>
      <c r="H332" s="958"/>
      <c r="I332" s="53">
        <f t="shared" si="56"/>
        <v>1</v>
      </c>
      <c r="J332" s="958"/>
      <c r="K332" s="53">
        <f t="shared" si="57"/>
        <v>1</v>
      </c>
      <c r="L332" s="958"/>
      <c r="M332" s="53">
        <f t="shared" si="58"/>
        <v>1</v>
      </c>
      <c r="N332" s="958"/>
      <c r="O332" s="53">
        <f t="shared" si="59"/>
        <v>1</v>
      </c>
      <c r="P332" s="958"/>
      <c r="Q332" s="53">
        <f t="shared" si="60"/>
        <v>1</v>
      </c>
      <c r="R332" s="488">
        <f t="shared" si="61"/>
        <v>0</v>
      </c>
      <c r="S332" s="795">
        <f t="shared" si="63"/>
        <v>0</v>
      </c>
    </row>
    <row r="333" spans="1:19">
      <c r="A333" s="960"/>
      <c r="B333" s="137"/>
      <c r="C333" s="53">
        <f t="shared" si="53"/>
        <v>1</v>
      </c>
      <c r="D333" s="958"/>
      <c r="E333" s="53">
        <f t="shared" si="54"/>
        <v>1</v>
      </c>
      <c r="F333" s="958"/>
      <c r="G333" s="53">
        <f t="shared" si="55"/>
        <v>1</v>
      </c>
      <c r="H333" s="958"/>
      <c r="I333" s="53">
        <f t="shared" si="56"/>
        <v>1</v>
      </c>
      <c r="J333" s="958"/>
      <c r="K333" s="53">
        <f t="shared" si="57"/>
        <v>1</v>
      </c>
      <c r="L333" s="958"/>
      <c r="M333" s="53">
        <f t="shared" si="58"/>
        <v>1</v>
      </c>
      <c r="N333" s="958"/>
      <c r="O333" s="53">
        <f t="shared" si="59"/>
        <v>1</v>
      </c>
      <c r="P333" s="958"/>
      <c r="Q333" s="53">
        <f t="shared" si="60"/>
        <v>1</v>
      </c>
      <c r="R333" s="488">
        <f t="shared" si="61"/>
        <v>0</v>
      </c>
      <c r="S333" s="795">
        <f t="shared" si="63"/>
        <v>0</v>
      </c>
    </row>
    <row r="334" spans="1:19">
      <c r="A334" s="960"/>
      <c r="B334" s="137"/>
      <c r="C334" s="53">
        <f t="shared" si="53"/>
        <v>1</v>
      </c>
      <c r="D334" s="958"/>
      <c r="E334" s="53">
        <f t="shared" si="54"/>
        <v>1</v>
      </c>
      <c r="F334" s="958"/>
      <c r="G334" s="53">
        <f t="shared" si="55"/>
        <v>1</v>
      </c>
      <c r="H334" s="958"/>
      <c r="I334" s="53">
        <f t="shared" si="56"/>
        <v>1</v>
      </c>
      <c r="J334" s="958"/>
      <c r="K334" s="53">
        <f t="shared" si="57"/>
        <v>1</v>
      </c>
      <c r="L334" s="958"/>
      <c r="M334" s="53">
        <f t="shared" si="58"/>
        <v>1</v>
      </c>
      <c r="N334" s="958"/>
      <c r="O334" s="53">
        <f t="shared" si="59"/>
        <v>1</v>
      </c>
      <c r="P334" s="958"/>
      <c r="Q334" s="53">
        <f t="shared" si="60"/>
        <v>1</v>
      </c>
      <c r="R334" s="488">
        <f t="shared" si="61"/>
        <v>0</v>
      </c>
      <c r="S334" s="795">
        <f t="shared" si="63"/>
        <v>0</v>
      </c>
    </row>
    <row r="335" spans="1:19">
      <c r="A335" s="960"/>
      <c r="B335" s="137"/>
      <c r="C335" s="53">
        <f t="shared" si="53"/>
        <v>1</v>
      </c>
      <c r="D335" s="958"/>
      <c r="E335" s="53">
        <f t="shared" si="54"/>
        <v>1</v>
      </c>
      <c r="F335" s="958"/>
      <c r="G335" s="53">
        <f t="shared" si="55"/>
        <v>1</v>
      </c>
      <c r="H335" s="958"/>
      <c r="I335" s="53">
        <f t="shared" si="56"/>
        <v>1</v>
      </c>
      <c r="J335" s="958"/>
      <c r="K335" s="53">
        <f t="shared" si="57"/>
        <v>1</v>
      </c>
      <c r="L335" s="958"/>
      <c r="M335" s="53">
        <f t="shared" si="58"/>
        <v>1</v>
      </c>
      <c r="N335" s="958"/>
      <c r="O335" s="53">
        <f t="shared" si="59"/>
        <v>1</v>
      </c>
      <c r="P335" s="958"/>
      <c r="Q335" s="53">
        <f t="shared" si="60"/>
        <v>1</v>
      </c>
      <c r="R335" s="488">
        <f t="shared" si="61"/>
        <v>0</v>
      </c>
      <c r="S335" s="795">
        <f t="shared" si="63"/>
        <v>0</v>
      </c>
    </row>
    <row r="336" spans="1:19">
      <c r="A336" s="960"/>
      <c r="B336" s="137"/>
      <c r="C336" s="53">
        <f t="shared" si="53"/>
        <v>1</v>
      </c>
      <c r="D336" s="958"/>
      <c r="E336" s="53">
        <f t="shared" si="54"/>
        <v>1</v>
      </c>
      <c r="F336" s="958"/>
      <c r="G336" s="53">
        <f t="shared" si="55"/>
        <v>1</v>
      </c>
      <c r="H336" s="958"/>
      <c r="I336" s="53">
        <f t="shared" si="56"/>
        <v>1</v>
      </c>
      <c r="J336" s="958"/>
      <c r="K336" s="53">
        <f t="shared" si="57"/>
        <v>1</v>
      </c>
      <c r="L336" s="958"/>
      <c r="M336" s="53">
        <f t="shared" si="58"/>
        <v>1</v>
      </c>
      <c r="N336" s="958"/>
      <c r="O336" s="53">
        <f t="shared" si="59"/>
        <v>1</v>
      </c>
      <c r="P336" s="958"/>
      <c r="Q336" s="53">
        <f t="shared" si="60"/>
        <v>1</v>
      </c>
      <c r="R336" s="488">
        <f t="shared" si="61"/>
        <v>0</v>
      </c>
      <c r="S336" s="795">
        <f t="shared" si="63"/>
        <v>0</v>
      </c>
    </row>
    <row r="337" spans="1:19">
      <c r="A337" s="960"/>
      <c r="B337" s="137"/>
      <c r="C337" s="53">
        <f t="shared" si="53"/>
        <v>1</v>
      </c>
      <c r="D337" s="958"/>
      <c r="E337" s="53">
        <f t="shared" si="54"/>
        <v>1</v>
      </c>
      <c r="F337" s="958"/>
      <c r="G337" s="53">
        <f t="shared" si="55"/>
        <v>1</v>
      </c>
      <c r="H337" s="958"/>
      <c r="I337" s="53">
        <f t="shared" si="56"/>
        <v>1</v>
      </c>
      <c r="J337" s="958"/>
      <c r="K337" s="53">
        <f t="shared" si="57"/>
        <v>1</v>
      </c>
      <c r="L337" s="958"/>
      <c r="M337" s="53">
        <f t="shared" si="58"/>
        <v>1</v>
      </c>
      <c r="N337" s="958"/>
      <c r="O337" s="53">
        <f t="shared" si="59"/>
        <v>1</v>
      </c>
      <c r="P337" s="958"/>
      <c r="Q337" s="53">
        <f t="shared" si="60"/>
        <v>1</v>
      </c>
      <c r="R337" s="488">
        <f t="shared" si="61"/>
        <v>0</v>
      </c>
      <c r="S337" s="795">
        <f t="shared" si="63"/>
        <v>0</v>
      </c>
    </row>
    <row r="338" spans="1:19">
      <c r="A338" s="960"/>
      <c r="B338" s="137"/>
      <c r="C338" s="53">
        <f t="shared" si="53"/>
        <v>1</v>
      </c>
      <c r="D338" s="958"/>
      <c r="E338" s="53">
        <f t="shared" si="54"/>
        <v>1</v>
      </c>
      <c r="F338" s="958"/>
      <c r="G338" s="53">
        <f t="shared" si="55"/>
        <v>1</v>
      </c>
      <c r="H338" s="958"/>
      <c r="I338" s="53">
        <f t="shared" si="56"/>
        <v>1</v>
      </c>
      <c r="J338" s="958"/>
      <c r="K338" s="53">
        <f t="shared" si="57"/>
        <v>1</v>
      </c>
      <c r="L338" s="958"/>
      <c r="M338" s="53">
        <f t="shared" si="58"/>
        <v>1</v>
      </c>
      <c r="N338" s="958"/>
      <c r="O338" s="53">
        <f t="shared" si="59"/>
        <v>1</v>
      </c>
      <c r="P338" s="958"/>
      <c r="Q338" s="53">
        <f t="shared" si="60"/>
        <v>1</v>
      </c>
      <c r="R338" s="488">
        <f t="shared" si="61"/>
        <v>0</v>
      </c>
      <c r="S338" s="795">
        <f t="shared" si="63"/>
        <v>0</v>
      </c>
    </row>
    <row r="339" spans="1:19">
      <c r="A339" s="960"/>
      <c r="B339" s="137"/>
      <c r="C339" s="53">
        <f t="shared" si="53"/>
        <v>1</v>
      </c>
      <c r="D339" s="958"/>
      <c r="E339" s="53">
        <f t="shared" si="54"/>
        <v>1</v>
      </c>
      <c r="F339" s="958"/>
      <c r="G339" s="53">
        <f t="shared" si="55"/>
        <v>1</v>
      </c>
      <c r="H339" s="958"/>
      <c r="I339" s="53">
        <f t="shared" si="56"/>
        <v>1</v>
      </c>
      <c r="J339" s="958"/>
      <c r="K339" s="53">
        <f t="shared" si="57"/>
        <v>1</v>
      </c>
      <c r="L339" s="958"/>
      <c r="M339" s="53">
        <f t="shared" si="58"/>
        <v>1</v>
      </c>
      <c r="N339" s="958"/>
      <c r="O339" s="53">
        <f t="shared" si="59"/>
        <v>1</v>
      </c>
      <c r="P339" s="958"/>
      <c r="Q339" s="53">
        <f t="shared" si="60"/>
        <v>1</v>
      </c>
      <c r="R339" s="488">
        <f t="shared" si="61"/>
        <v>0</v>
      </c>
      <c r="S339" s="795">
        <f t="shared" si="63"/>
        <v>0</v>
      </c>
    </row>
    <row r="340" spans="1:19">
      <c r="A340" s="960"/>
      <c r="B340" s="137"/>
      <c r="C340" s="53">
        <f t="shared" si="53"/>
        <v>1</v>
      </c>
      <c r="D340" s="958"/>
      <c r="E340" s="53">
        <f t="shared" si="54"/>
        <v>1</v>
      </c>
      <c r="F340" s="958"/>
      <c r="G340" s="53">
        <f t="shared" si="55"/>
        <v>1</v>
      </c>
      <c r="H340" s="958"/>
      <c r="I340" s="53">
        <f t="shared" si="56"/>
        <v>1</v>
      </c>
      <c r="J340" s="958"/>
      <c r="K340" s="53">
        <f t="shared" si="57"/>
        <v>1</v>
      </c>
      <c r="L340" s="958"/>
      <c r="M340" s="53">
        <f t="shared" si="58"/>
        <v>1</v>
      </c>
      <c r="N340" s="958"/>
      <c r="O340" s="53">
        <f t="shared" si="59"/>
        <v>1</v>
      </c>
      <c r="P340" s="958"/>
      <c r="Q340" s="53">
        <f t="shared" si="60"/>
        <v>1</v>
      </c>
      <c r="R340" s="488">
        <f t="shared" si="61"/>
        <v>0</v>
      </c>
      <c r="S340" s="795">
        <f t="shared" si="63"/>
        <v>0</v>
      </c>
    </row>
    <row r="341" spans="1:19">
      <c r="A341" s="960"/>
      <c r="B341" s="137"/>
      <c r="C341" s="53">
        <f t="shared" si="53"/>
        <v>1</v>
      </c>
      <c r="D341" s="958"/>
      <c r="E341" s="53">
        <f t="shared" si="54"/>
        <v>1</v>
      </c>
      <c r="F341" s="958"/>
      <c r="G341" s="53">
        <f t="shared" si="55"/>
        <v>1</v>
      </c>
      <c r="H341" s="958"/>
      <c r="I341" s="53">
        <f t="shared" si="56"/>
        <v>1</v>
      </c>
      <c r="J341" s="958"/>
      <c r="K341" s="53">
        <f t="shared" si="57"/>
        <v>1</v>
      </c>
      <c r="L341" s="958"/>
      <c r="M341" s="53">
        <f t="shared" si="58"/>
        <v>1</v>
      </c>
      <c r="N341" s="958"/>
      <c r="O341" s="53">
        <f t="shared" si="59"/>
        <v>1</v>
      </c>
      <c r="P341" s="958"/>
      <c r="Q341" s="53">
        <f t="shared" si="60"/>
        <v>1</v>
      </c>
      <c r="R341" s="488">
        <f t="shared" si="61"/>
        <v>0</v>
      </c>
      <c r="S341" s="795">
        <f t="shared" si="63"/>
        <v>0</v>
      </c>
    </row>
    <row r="342" spans="1:19">
      <c r="A342" s="960"/>
      <c r="B342" s="137"/>
      <c r="C342" s="53">
        <f t="shared" si="53"/>
        <v>1</v>
      </c>
      <c r="D342" s="958"/>
      <c r="E342" s="53">
        <f t="shared" si="54"/>
        <v>1</v>
      </c>
      <c r="F342" s="958"/>
      <c r="G342" s="53">
        <f t="shared" si="55"/>
        <v>1</v>
      </c>
      <c r="H342" s="958"/>
      <c r="I342" s="53">
        <f t="shared" si="56"/>
        <v>1</v>
      </c>
      <c r="J342" s="958"/>
      <c r="K342" s="53">
        <f t="shared" si="57"/>
        <v>1</v>
      </c>
      <c r="L342" s="958"/>
      <c r="M342" s="53">
        <f t="shared" si="58"/>
        <v>1</v>
      </c>
      <c r="N342" s="958"/>
      <c r="O342" s="53">
        <f t="shared" si="59"/>
        <v>1</v>
      </c>
      <c r="P342" s="958"/>
      <c r="Q342" s="53">
        <f t="shared" si="60"/>
        <v>1</v>
      </c>
      <c r="R342" s="488">
        <f t="shared" si="61"/>
        <v>0</v>
      </c>
      <c r="S342" s="795">
        <f t="shared" si="63"/>
        <v>0</v>
      </c>
    </row>
    <row r="343" spans="1:19">
      <c r="A343" s="960"/>
      <c r="B343" s="137"/>
      <c r="C343" s="53">
        <f t="shared" si="53"/>
        <v>1</v>
      </c>
      <c r="D343" s="958"/>
      <c r="E343" s="53">
        <f t="shared" si="54"/>
        <v>1</v>
      </c>
      <c r="F343" s="958"/>
      <c r="G343" s="53">
        <f t="shared" si="55"/>
        <v>1</v>
      </c>
      <c r="H343" s="958"/>
      <c r="I343" s="53">
        <f t="shared" si="56"/>
        <v>1</v>
      </c>
      <c r="J343" s="958"/>
      <c r="K343" s="53">
        <f t="shared" si="57"/>
        <v>1</v>
      </c>
      <c r="L343" s="958"/>
      <c r="M343" s="53">
        <f t="shared" si="58"/>
        <v>1</v>
      </c>
      <c r="N343" s="958"/>
      <c r="O343" s="53">
        <f t="shared" si="59"/>
        <v>1</v>
      </c>
      <c r="P343" s="958"/>
      <c r="Q343" s="53">
        <f t="shared" si="60"/>
        <v>1</v>
      </c>
      <c r="R343" s="488">
        <f t="shared" si="61"/>
        <v>0</v>
      </c>
      <c r="S343" s="795">
        <f t="shared" si="63"/>
        <v>0</v>
      </c>
    </row>
    <row r="344" spans="1:19">
      <c r="A344" s="960"/>
      <c r="B344" s="137"/>
      <c r="C344" s="53">
        <f t="shared" si="53"/>
        <v>1</v>
      </c>
      <c r="D344" s="958"/>
      <c r="E344" s="53">
        <f t="shared" si="54"/>
        <v>1</v>
      </c>
      <c r="F344" s="958"/>
      <c r="G344" s="53">
        <f t="shared" si="55"/>
        <v>1</v>
      </c>
      <c r="H344" s="958"/>
      <c r="I344" s="53">
        <f t="shared" si="56"/>
        <v>1</v>
      </c>
      <c r="J344" s="958"/>
      <c r="K344" s="53">
        <f t="shared" si="57"/>
        <v>1</v>
      </c>
      <c r="L344" s="958"/>
      <c r="M344" s="53">
        <f t="shared" si="58"/>
        <v>1</v>
      </c>
      <c r="N344" s="958"/>
      <c r="O344" s="53">
        <f t="shared" si="59"/>
        <v>1</v>
      </c>
      <c r="P344" s="958"/>
      <c r="Q344" s="53">
        <f t="shared" si="60"/>
        <v>1</v>
      </c>
      <c r="R344" s="488">
        <f t="shared" si="61"/>
        <v>0</v>
      </c>
      <c r="S344" s="795">
        <f t="shared" si="63"/>
        <v>0</v>
      </c>
    </row>
    <row r="345" spans="1:19">
      <c r="A345" s="960"/>
      <c r="B345" s="137"/>
      <c r="C345" s="53">
        <f t="shared" si="53"/>
        <v>1</v>
      </c>
      <c r="D345" s="958"/>
      <c r="E345" s="53">
        <f t="shared" si="54"/>
        <v>1</v>
      </c>
      <c r="F345" s="958"/>
      <c r="G345" s="53">
        <f t="shared" si="55"/>
        <v>1</v>
      </c>
      <c r="H345" s="958"/>
      <c r="I345" s="53">
        <f t="shared" si="56"/>
        <v>1</v>
      </c>
      <c r="J345" s="958"/>
      <c r="K345" s="53">
        <f t="shared" si="57"/>
        <v>1</v>
      </c>
      <c r="L345" s="958"/>
      <c r="M345" s="53">
        <f t="shared" si="58"/>
        <v>1</v>
      </c>
      <c r="N345" s="958"/>
      <c r="O345" s="53">
        <f t="shared" si="59"/>
        <v>1</v>
      </c>
      <c r="P345" s="958"/>
      <c r="Q345" s="53">
        <f t="shared" si="60"/>
        <v>1</v>
      </c>
      <c r="R345" s="488">
        <f t="shared" si="61"/>
        <v>0</v>
      </c>
      <c r="S345" s="795">
        <f t="shared" si="63"/>
        <v>0</v>
      </c>
    </row>
    <row r="346" spans="1:19">
      <c r="A346" s="960"/>
      <c r="B346" s="137"/>
      <c r="C346" s="53">
        <f t="shared" ref="C346:C409" si="64">IF(B346="",1,(LOOKUP(B346,$3:$3,$4:$4)-LOOKUP($B$24,$3:$3,$4:$4)+100)/100)</f>
        <v>1</v>
      </c>
      <c r="D346" s="958"/>
      <c r="E346" s="53">
        <f t="shared" ref="E346:E409" si="65">(SUMIF($5:$5,D346,$6:$6)-SUMIF($5:$5,$D$24,$6:$6)+100)/100</f>
        <v>1</v>
      </c>
      <c r="F346" s="958"/>
      <c r="G346" s="53">
        <f t="shared" ref="G346:G409" si="66">(SUMIF($7:$7,F346,$8:$8)-SUMIF($7:$7,$F$24,$8:$8)+100)/100</f>
        <v>1</v>
      </c>
      <c r="H346" s="958"/>
      <c r="I346" s="53">
        <f t="shared" ref="I346:I409" si="67">(SUMIF($9:$9,H346,$10:$10)-SUMIF($9:$9,$H$24,$10:$10)+100)/100</f>
        <v>1</v>
      </c>
      <c r="J346" s="958"/>
      <c r="K346" s="53">
        <f t="shared" ref="K346:K409" si="68">(SUMIF($11:$11,J346,$12:$12)-SUMIF($11:$11,$J$24,$12:$12)+100)/100</f>
        <v>1</v>
      </c>
      <c r="L346" s="958"/>
      <c r="M346" s="53">
        <f t="shared" ref="M346:M409" si="69">(SUMIF($13:$13,L346,$14:$14)-SUMIF($13:$13,$L$24,$14:$14)+100)/100</f>
        <v>1</v>
      </c>
      <c r="N346" s="958"/>
      <c r="O346" s="53">
        <f t="shared" ref="O346:O409" si="70">(SUMIF($15:$15,N346,$16:$16)-SUMIF($15:$15,$N$24,$16:$16)+100)/100</f>
        <v>1</v>
      </c>
      <c r="P346" s="958"/>
      <c r="Q346" s="53">
        <f t="shared" ref="Q346:Q409" si="71">(SUMIF($17:$17,P346,$18:$18)-SUMIF($17:$17,$P$24,$18:$18)+100)/100</f>
        <v>1</v>
      </c>
      <c r="R346" s="488">
        <f t="shared" ref="R346:R409" si="72">IF(B346="",0,ROUND($R$24*C346*E346*G346*I346*K346*M346*O346*Q346,0))</f>
        <v>0</v>
      </c>
      <c r="S346" s="795">
        <f t="shared" si="63"/>
        <v>0</v>
      </c>
    </row>
    <row r="347" spans="1:19">
      <c r="A347" s="960"/>
      <c r="B347" s="137"/>
      <c r="C347" s="53">
        <f t="shared" si="64"/>
        <v>1</v>
      </c>
      <c r="D347" s="958"/>
      <c r="E347" s="53">
        <f t="shared" si="65"/>
        <v>1</v>
      </c>
      <c r="F347" s="958"/>
      <c r="G347" s="53">
        <f t="shared" si="66"/>
        <v>1</v>
      </c>
      <c r="H347" s="958"/>
      <c r="I347" s="53">
        <f t="shared" si="67"/>
        <v>1</v>
      </c>
      <c r="J347" s="958"/>
      <c r="K347" s="53">
        <f t="shared" si="68"/>
        <v>1</v>
      </c>
      <c r="L347" s="958"/>
      <c r="M347" s="53">
        <f t="shared" si="69"/>
        <v>1</v>
      </c>
      <c r="N347" s="958"/>
      <c r="O347" s="53">
        <f t="shared" si="70"/>
        <v>1</v>
      </c>
      <c r="P347" s="958"/>
      <c r="Q347" s="53">
        <f t="shared" si="71"/>
        <v>1</v>
      </c>
      <c r="R347" s="488">
        <f t="shared" si="72"/>
        <v>0</v>
      </c>
      <c r="S347" s="795">
        <f t="shared" si="63"/>
        <v>0</v>
      </c>
    </row>
    <row r="348" spans="1:19">
      <c r="A348" s="960"/>
      <c r="B348" s="137"/>
      <c r="C348" s="53">
        <f t="shared" si="64"/>
        <v>1</v>
      </c>
      <c r="D348" s="958"/>
      <c r="E348" s="53">
        <f t="shared" si="65"/>
        <v>1</v>
      </c>
      <c r="F348" s="958"/>
      <c r="G348" s="53">
        <f t="shared" si="66"/>
        <v>1</v>
      </c>
      <c r="H348" s="958"/>
      <c r="I348" s="53">
        <f t="shared" si="67"/>
        <v>1</v>
      </c>
      <c r="J348" s="958"/>
      <c r="K348" s="53">
        <f t="shared" si="68"/>
        <v>1</v>
      </c>
      <c r="L348" s="958"/>
      <c r="M348" s="53">
        <f t="shared" si="69"/>
        <v>1</v>
      </c>
      <c r="N348" s="958"/>
      <c r="O348" s="53">
        <f t="shared" si="70"/>
        <v>1</v>
      </c>
      <c r="P348" s="958"/>
      <c r="Q348" s="53">
        <f t="shared" si="71"/>
        <v>1</v>
      </c>
      <c r="R348" s="488">
        <f t="shared" si="72"/>
        <v>0</v>
      </c>
      <c r="S348" s="795">
        <f t="shared" si="63"/>
        <v>0</v>
      </c>
    </row>
    <row r="349" spans="1:19">
      <c r="A349" s="960"/>
      <c r="B349" s="137"/>
      <c r="C349" s="53">
        <f t="shared" si="64"/>
        <v>1</v>
      </c>
      <c r="D349" s="958"/>
      <c r="E349" s="53">
        <f t="shared" si="65"/>
        <v>1</v>
      </c>
      <c r="F349" s="958"/>
      <c r="G349" s="53">
        <f t="shared" si="66"/>
        <v>1</v>
      </c>
      <c r="H349" s="958"/>
      <c r="I349" s="53">
        <f t="shared" si="67"/>
        <v>1</v>
      </c>
      <c r="J349" s="958"/>
      <c r="K349" s="53">
        <f t="shared" si="68"/>
        <v>1</v>
      </c>
      <c r="L349" s="958"/>
      <c r="M349" s="53">
        <f t="shared" si="69"/>
        <v>1</v>
      </c>
      <c r="N349" s="958"/>
      <c r="O349" s="53">
        <f t="shared" si="70"/>
        <v>1</v>
      </c>
      <c r="P349" s="958"/>
      <c r="Q349" s="53">
        <f t="shared" si="71"/>
        <v>1</v>
      </c>
      <c r="R349" s="488">
        <f t="shared" si="72"/>
        <v>0</v>
      </c>
      <c r="S349" s="795">
        <f t="shared" si="63"/>
        <v>0</v>
      </c>
    </row>
    <row r="350" spans="1:19">
      <c r="A350" s="960"/>
      <c r="B350" s="137"/>
      <c r="C350" s="53">
        <f t="shared" si="64"/>
        <v>1</v>
      </c>
      <c r="D350" s="958"/>
      <c r="E350" s="53">
        <f t="shared" si="65"/>
        <v>1</v>
      </c>
      <c r="F350" s="958"/>
      <c r="G350" s="53">
        <f t="shared" si="66"/>
        <v>1</v>
      </c>
      <c r="H350" s="958"/>
      <c r="I350" s="53">
        <f t="shared" si="67"/>
        <v>1</v>
      </c>
      <c r="J350" s="958"/>
      <c r="K350" s="53">
        <f t="shared" si="68"/>
        <v>1</v>
      </c>
      <c r="L350" s="958"/>
      <c r="M350" s="53">
        <f t="shared" si="69"/>
        <v>1</v>
      </c>
      <c r="N350" s="958"/>
      <c r="O350" s="53">
        <f t="shared" si="70"/>
        <v>1</v>
      </c>
      <c r="P350" s="958"/>
      <c r="Q350" s="53">
        <f t="shared" si="71"/>
        <v>1</v>
      </c>
      <c r="R350" s="488">
        <f t="shared" si="72"/>
        <v>0</v>
      </c>
      <c r="S350" s="795">
        <f t="shared" si="63"/>
        <v>0</v>
      </c>
    </row>
    <row r="351" spans="1:19">
      <c r="A351" s="960"/>
      <c r="B351" s="137"/>
      <c r="C351" s="53">
        <f t="shared" si="64"/>
        <v>1</v>
      </c>
      <c r="D351" s="958"/>
      <c r="E351" s="53">
        <f t="shared" si="65"/>
        <v>1</v>
      </c>
      <c r="F351" s="958"/>
      <c r="G351" s="53">
        <f t="shared" si="66"/>
        <v>1</v>
      </c>
      <c r="H351" s="958"/>
      <c r="I351" s="53">
        <f t="shared" si="67"/>
        <v>1</v>
      </c>
      <c r="J351" s="958"/>
      <c r="K351" s="53">
        <f t="shared" si="68"/>
        <v>1</v>
      </c>
      <c r="L351" s="958"/>
      <c r="M351" s="53">
        <f t="shared" si="69"/>
        <v>1</v>
      </c>
      <c r="N351" s="958"/>
      <c r="O351" s="53">
        <f t="shared" si="70"/>
        <v>1</v>
      </c>
      <c r="P351" s="958"/>
      <c r="Q351" s="53">
        <f t="shared" si="71"/>
        <v>1</v>
      </c>
      <c r="R351" s="488">
        <f t="shared" si="72"/>
        <v>0</v>
      </c>
      <c r="S351" s="795">
        <f t="shared" si="63"/>
        <v>0</v>
      </c>
    </row>
    <row r="352" spans="1:19">
      <c r="A352" s="960"/>
      <c r="B352" s="137"/>
      <c r="C352" s="53">
        <f t="shared" si="64"/>
        <v>1</v>
      </c>
      <c r="D352" s="958"/>
      <c r="E352" s="53">
        <f t="shared" si="65"/>
        <v>1</v>
      </c>
      <c r="F352" s="958"/>
      <c r="G352" s="53">
        <f t="shared" si="66"/>
        <v>1</v>
      </c>
      <c r="H352" s="958"/>
      <c r="I352" s="53">
        <f t="shared" si="67"/>
        <v>1</v>
      </c>
      <c r="J352" s="958"/>
      <c r="K352" s="53">
        <f t="shared" si="68"/>
        <v>1</v>
      </c>
      <c r="L352" s="958"/>
      <c r="M352" s="53">
        <f t="shared" si="69"/>
        <v>1</v>
      </c>
      <c r="N352" s="958"/>
      <c r="O352" s="53">
        <f t="shared" si="70"/>
        <v>1</v>
      </c>
      <c r="P352" s="958"/>
      <c r="Q352" s="53">
        <f t="shared" si="71"/>
        <v>1</v>
      </c>
      <c r="R352" s="488">
        <f t="shared" si="72"/>
        <v>0</v>
      </c>
      <c r="S352" s="795">
        <f t="shared" si="63"/>
        <v>0</v>
      </c>
    </row>
    <row r="353" spans="1:19">
      <c r="A353" s="960"/>
      <c r="B353" s="137"/>
      <c r="C353" s="53">
        <f t="shared" si="64"/>
        <v>1</v>
      </c>
      <c r="D353" s="958"/>
      <c r="E353" s="53">
        <f t="shared" si="65"/>
        <v>1</v>
      </c>
      <c r="F353" s="958"/>
      <c r="G353" s="53">
        <f t="shared" si="66"/>
        <v>1</v>
      </c>
      <c r="H353" s="958"/>
      <c r="I353" s="53">
        <f t="shared" si="67"/>
        <v>1</v>
      </c>
      <c r="J353" s="958"/>
      <c r="K353" s="53">
        <f t="shared" si="68"/>
        <v>1</v>
      </c>
      <c r="L353" s="958"/>
      <c r="M353" s="53">
        <f t="shared" si="69"/>
        <v>1</v>
      </c>
      <c r="N353" s="958"/>
      <c r="O353" s="53">
        <f t="shared" si="70"/>
        <v>1</v>
      </c>
      <c r="P353" s="958"/>
      <c r="Q353" s="53">
        <f t="shared" si="71"/>
        <v>1</v>
      </c>
      <c r="R353" s="488">
        <f t="shared" si="72"/>
        <v>0</v>
      </c>
      <c r="S353" s="795">
        <f t="shared" si="63"/>
        <v>0</v>
      </c>
    </row>
    <row r="354" spans="1:19">
      <c r="A354" s="960"/>
      <c r="B354" s="137"/>
      <c r="C354" s="53">
        <f t="shared" si="64"/>
        <v>1</v>
      </c>
      <c r="D354" s="958"/>
      <c r="E354" s="53">
        <f t="shared" si="65"/>
        <v>1</v>
      </c>
      <c r="F354" s="958"/>
      <c r="G354" s="53">
        <f t="shared" si="66"/>
        <v>1</v>
      </c>
      <c r="H354" s="958"/>
      <c r="I354" s="53">
        <f t="shared" si="67"/>
        <v>1</v>
      </c>
      <c r="J354" s="958"/>
      <c r="K354" s="53">
        <f t="shared" si="68"/>
        <v>1</v>
      </c>
      <c r="L354" s="958"/>
      <c r="M354" s="53">
        <f t="shared" si="69"/>
        <v>1</v>
      </c>
      <c r="N354" s="958"/>
      <c r="O354" s="53">
        <f t="shared" si="70"/>
        <v>1</v>
      </c>
      <c r="P354" s="958"/>
      <c r="Q354" s="53">
        <f t="shared" si="71"/>
        <v>1</v>
      </c>
      <c r="R354" s="488">
        <f t="shared" si="72"/>
        <v>0</v>
      </c>
      <c r="S354" s="795">
        <f t="shared" si="63"/>
        <v>0</v>
      </c>
    </row>
    <row r="355" spans="1:19">
      <c r="A355" s="960"/>
      <c r="B355" s="137"/>
      <c r="C355" s="53">
        <f t="shared" si="64"/>
        <v>1</v>
      </c>
      <c r="D355" s="958"/>
      <c r="E355" s="53">
        <f t="shared" si="65"/>
        <v>1</v>
      </c>
      <c r="F355" s="958"/>
      <c r="G355" s="53">
        <f t="shared" si="66"/>
        <v>1</v>
      </c>
      <c r="H355" s="958"/>
      <c r="I355" s="53">
        <f t="shared" si="67"/>
        <v>1</v>
      </c>
      <c r="J355" s="958"/>
      <c r="K355" s="53">
        <f t="shared" si="68"/>
        <v>1</v>
      </c>
      <c r="L355" s="958"/>
      <c r="M355" s="53">
        <f t="shared" si="69"/>
        <v>1</v>
      </c>
      <c r="N355" s="958"/>
      <c r="O355" s="53">
        <f t="shared" si="70"/>
        <v>1</v>
      </c>
      <c r="P355" s="958"/>
      <c r="Q355" s="53">
        <f t="shared" si="71"/>
        <v>1</v>
      </c>
      <c r="R355" s="488">
        <f t="shared" si="72"/>
        <v>0</v>
      </c>
      <c r="S355" s="795">
        <f t="shared" si="63"/>
        <v>0</v>
      </c>
    </row>
    <row r="356" spans="1:19">
      <c r="A356" s="960"/>
      <c r="B356" s="137"/>
      <c r="C356" s="53">
        <f t="shared" si="64"/>
        <v>1</v>
      </c>
      <c r="D356" s="958"/>
      <c r="E356" s="53">
        <f t="shared" si="65"/>
        <v>1</v>
      </c>
      <c r="F356" s="958"/>
      <c r="G356" s="53">
        <f t="shared" si="66"/>
        <v>1</v>
      </c>
      <c r="H356" s="958"/>
      <c r="I356" s="53">
        <f t="shared" si="67"/>
        <v>1</v>
      </c>
      <c r="J356" s="958"/>
      <c r="K356" s="53">
        <f t="shared" si="68"/>
        <v>1</v>
      </c>
      <c r="L356" s="958"/>
      <c r="M356" s="53">
        <f t="shared" si="69"/>
        <v>1</v>
      </c>
      <c r="N356" s="958"/>
      <c r="O356" s="53">
        <f t="shared" si="70"/>
        <v>1</v>
      </c>
      <c r="P356" s="958"/>
      <c r="Q356" s="53">
        <f t="shared" si="71"/>
        <v>1</v>
      </c>
      <c r="R356" s="488">
        <f t="shared" si="72"/>
        <v>0</v>
      </c>
      <c r="S356" s="795">
        <f t="shared" si="63"/>
        <v>0</v>
      </c>
    </row>
    <row r="357" spans="1:19">
      <c r="A357" s="960"/>
      <c r="B357" s="137"/>
      <c r="C357" s="53">
        <f t="shared" si="64"/>
        <v>1</v>
      </c>
      <c r="D357" s="958"/>
      <c r="E357" s="53">
        <f t="shared" si="65"/>
        <v>1</v>
      </c>
      <c r="F357" s="958"/>
      <c r="G357" s="53">
        <f t="shared" si="66"/>
        <v>1</v>
      </c>
      <c r="H357" s="958"/>
      <c r="I357" s="53">
        <f t="shared" si="67"/>
        <v>1</v>
      </c>
      <c r="J357" s="958"/>
      <c r="K357" s="53">
        <f t="shared" si="68"/>
        <v>1</v>
      </c>
      <c r="L357" s="958"/>
      <c r="M357" s="53">
        <f t="shared" si="69"/>
        <v>1</v>
      </c>
      <c r="N357" s="958"/>
      <c r="O357" s="53">
        <f t="shared" si="70"/>
        <v>1</v>
      </c>
      <c r="P357" s="958"/>
      <c r="Q357" s="53">
        <f t="shared" si="71"/>
        <v>1</v>
      </c>
      <c r="R357" s="488">
        <f t="shared" si="72"/>
        <v>0</v>
      </c>
      <c r="S357" s="795">
        <f t="shared" si="63"/>
        <v>0</v>
      </c>
    </row>
    <row r="358" spans="1:19">
      <c r="A358" s="960"/>
      <c r="B358" s="137"/>
      <c r="C358" s="53">
        <f t="shared" si="64"/>
        <v>1</v>
      </c>
      <c r="D358" s="958"/>
      <c r="E358" s="53">
        <f t="shared" si="65"/>
        <v>1</v>
      </c>
      <c r="F358" s="958"/>
      <c r="G358" s="53">
        <f t="shared" si="66"/>
        <v>1</v>
      </c>
      <c r="H358" s="958"/>
      <c r="I358" s="53">
        <f t="shared" si="67"/>
        <v>1</v>
      </c>
      <c r="J358" s="958"/>
      <c r="K358" s="53">
        <f t="shared" si="68"/>
        <v>1</v>
      </c>
      <c r="L358" s="958"/>
      <c r="M358" s="53">
        <f t="shared" si="69"/>
        <v>1</v>
      </c>
      <c r="N358" s="958"/>
      <c r="O358" s="53">
        <f t="shared" si="70"/>
        <v>1</v>
      </c>
      <c r="P358" s="958"/>
      <c r="Q358" s="53">
        <f t="shared" si="71"/>
        <v>1</v>
      </c>
      <c r="R358" s="488">
        <f t="shared" si="72"/>
        <v>0</v>
      </c>
      <c r="S358" s="795">
        <f t="shared" si="63"/>
        <v>0</v>
      </c>
    </row>
    <row r="359" spans="1:19">
      <c r="A359" s="960"/>
      <c r="B359" s="137"/>
      <c r="C359" s="53">
        <f t="shared" si="64"/>
        <v>1</v>
      </c>
      <c r="D359" s="958"/>
      <c r="E359" s="53">
        <f t="shared" si="65"/>
        <v>1</v>
      </c>
      <c r="F359" s="958"/>
      <c r="G359" s="53">
        <f t="shared" si="66"/>
        <v>1</v>
      </c>
      <c r="H359" s="958"/>
      <c r="I359" s="53">
        <f t="shared" si="67"/>
        <v>1</v>
      </c>
      <c r="J359" s="958"/>
      <c r="K359" s="53">
        <f t="shared" si="68"/>
        <v>1</v>
      </c>
      <c r="L359" s="958"/>
      <c r="M359" s="53">
        <f t="shared" si="69"/>
        <v>1</v>
      </c>
      <c r="N359" s="958"/>
      <c r="O359" s="53">
        <f t="shared" si="70"/>
        <v>1</v>
      </c>
      <c r="P359" s="958"/>
      <c r="Q359" s="53">
        <f t="shared" si="71"/>
        <v>1</v>
      </c>
      <c r="R359" s="488">
        <f t="shared" si="72"/>
        <v>0</v>
      </c>
      <c r="S359" s="795">
        <f t="shared" si="63"/>
        <v>0</v>
      </c>
    </row>
    <row r="360" spans="1:19">
      <c r="A360" s="960"/>
      <c r="B360" s="137"/>
      <c r="C360" s="53">
        <f t="shared" si="64"/>
        <v>1</v>
      </c>
      <c r="D360" s="958"/>
      <c r="E360" s="53">
        <f t="shared" si="65"/>
        <v>1</v>
      </c>
      <c r="F360" s="958"/>
      <c r="G360" s="53">
        <f t="shared" si="66"/>
        <v>1</v>
      </c>
      <c r="H360" s="958"/>
      <c r="I360" s="53">
        <f t="shared" si="67"/>
        <v>1</v>
      </c>
      <c r="J360" s="958"/>
      <c r="K360" s="53">
        <f t="shared" si="68"/>
        <v>1</v>
      </c>
      <c r="L360" s="958"/>
      <c r="M360" s="53">
        <f t="shared" si="69"/>
        <v>1</v>
      </c>
      <c r="N360" s="958"/>
      <c r="O360" s="53">
        <f t="shared" si="70"/>
        <v>1</v>
      </c>
      <c r="P360" s="958"/>
      <c r="Q360" s="53">
        <f t="shared" si="71"/>
        <v>1</v>
      </c>
      <c r="R360" s="488">
        <f t="shared" si="72"/>
        <v>0</v>
      </c>
      <c r="S360" s="795">
        <f t="shared" si="63"/>
        <v>0</v>
      </c>
    </row>
    <row r="361" spans="1:19">
      <c r="A361" s="960"/>
      <c r="B361" s="137"/>
      <c r="C361" s="53">
        <f t="shared" si="64"/>
        <v>1</v>
      </c>
      <c r="D361" s="958"/>
      <c r="E361" s="53">
        <f t="shared" si="65"/>
        <v>1</v>
      </c>
      <c r="F361" s="958"/>
      <c r="G361" s="53">
        <f t="shared" si="66"/>
        <v>1</v>
      </c>
      <c r="H361" s="958"/>
      <c r="I361" s="53">
        <f t="shared" si="67"/>
        <v>1</v>
      </c>
      <c r="J361" s="958"/>
      <c r="K361" s="53">
        <f t="shared" si="68"/>
        <v>1</v>
      </c>
      <c r="L361" s="958"/>
      <c r="M361" s="53">
        <f t="shared" si="69"/>
        <v>1</v>
      </c>
      <c r="N361" s="958"/>
      <c r="O361" s="53">
        <f t="shared" si="70"/>
        <v>1</v>
      </c>
      <c r="P361" s="958"/>
      <c r="Q361" s="53">
        <f t="shared" si="71"/>
        <v>1</v>
      </c>
      <c r="R361" s="488">
        <f t="shared" si="72"/>
        <v>0</v>
      </c>
      <c r="S361" s="795">
        <f t="shared" si="63"/>
        <v>0</v>
      </c>
    </row>
    <row r="362" spans="1:19">
      <c r="A362" s="960"/>
      <c r="B362" s="137"/>
      <c r="C362" s="53">
        <f t="shared" si="64"/>
        <v>1</v>
      </c>
      <c r="D362" s="958"/>
      <c r="E362" s="53">
        <f t="shared" si="65"/>
        <v>1</v>
      </c>
      <c r="F362" s="958"/>
      <c r="G362" s="53">
        <f t="shared" si="66"/>
        <v>1</v>
      </c>
      <c r="H362" s="958"/>
      <c r="I362" s="53">
        <f t="shared" si="67"/>
        <v>1</v>
      </c>
      <c r="J362" s="958"/>
      <c r="K362" s="53">
        <f t="shared" si="68"/>
        <v>1</v>
      </c>
      <c r="L362" s="958"/>
      <c r="M362" s="53">
        <f t="shared" si="69"/>
        <v>1</v>
      </c>
      <c r="N362" s="958"/>
      <c r="O362" s="53">
        <f t="shared" si="70"/>
        <v>1</v>
      </c>
      <c r="P362" s="958"/>
      <c r="Q362" s="53">
        <f t="shared" si="71"/>
        <v>1</v>
      </c>
      <c r="R362" s="488">
        <f t="shared" si="72"/>
        <v>0</v>
      </c>
      <c r="S362" s="795">
        <f t="shared" si="63"/>
        <v>0</v>
      </c>
    </row>
    <row r="363" spans="1:19">
      <c r="A363" s="960"/>
      <c r="B363" s="137"/>
      <c r="C363" s="53">
        <f t="shared" si="64"/>
        <v>1</v>
      </c>
      <c r="D363" s="958"/>
      <c r="E363" s="53">
        <f t="shared" si="65"/>
        <v>1</v>
      </c>
      <c r="F363" s="958"/>
      <c r="G363" s="53">
        <f t="shared" si="66"/>
        <v>1</v>
      </c>
      <c r="H363" s="958"/>
      <c r="I363" s="53">
        <f t="shared" si="67"/>
        <v>1</v>
      </c>
      <c r="J363" s="958"/>
      <c r="K363" s="53">
        <f t="shared" si="68"/>
        <v>1</v>
      </c>
      <c r="L363" s="958"/>
      <c r="M363" s="53">
        <f t="shared" si="69"/>
        <v>1</v>
      </c>
      <c r="N363" s="958"/>
      <c r="O363" s="53">
        <f t="shared" si="70"/>
        <v>1</v>
      </c>
      <c r="P363" s="958"/>
      <c r="Q363" s="53">
        <f t="shared" si="71"/>
        <v>1</v>
      </c>
      <c r="R363" s="488">
        <f t="shared" si="72"/>
        <v>0</v>
      </c>
      <c r="S363" s="795">
        <f t="shared" si="63"/>
        <v>0</v>
      </c>
    </row>
    <row r="364" spans="1:19">
      <c r="A364" s="960"/>
      <c r="B364" s="137"/>
      <c r="C364" s="53">
        <f t="shared" si="64"/>
        <v>1</v>
      </c>
      <c r="D364" s="958"/>
      <c r="E364" s="53">
        <f t="shared" si="65"/>
        <v>1</v>
      </c>
      <c r="F364" s="958"/>
      <c r="G364" s="53">
        <f t="shared" si="66"/>
        <v>1</v>
      </c>
      <c r="H364" s="958"/>
      <c r="I364" s="53">
        <f t="shared" si="67"/>
        <v>1</v>
      </c>
      <c r="J364" s="958"/>
      <c r="K364" s="53">
        <f t="shared" si="68"/>
        <v>1</v>
      </c>
      <c r="L364" s="958"/>
      <c r="M364" s="53">
        <f t="shared" si="69"/>
        <v>1</v>
      </c>
      <c r="N364" s="958"/>
      <c r="O364" s="53">
        <f t="shared" si="70"/>
        <v>1</v>
      </c>
      <c r="P364" s="958"/>
      <c r="Q364" s="53">
        <f t="shared" si="71"/>
        <v>1</v>
      </c>
      <c r="R364" s="488">
        <f t="shared" si="72"/>
        <v>0</v>
      </c>
      <c r="S364" s="795">
        <f t="shared" si="63"/>
        <v>0</v>
      </c>
    </row>
    <row r="365" spans="1:19">
      <c r="A365" s="960"/>
      <c r="B365" s="137"/>
      <c r="C365" s="53">
        <f t="shared" si="64"/>
        <v>1</v>
      </c>
      <c r="D365" s="958"/>
      <c r="E365" s="53">
        <f t="shared" si="65"/>
        <v>1</v>
      </c>
      <c r="F365" s="958"/>
      <c r="G365" s="53">
        <f t="shared" si="66"/>
        <v>1</v>
      </c>
      <c r="H365" s="958"/>
      <c r="I365" s="53">
        <f t="shared" si="67"/>
        <v>1</v>
      </c>
      <c r="J365" s="958"/>
      <c r="K365" s="53">
        <f t="shared" si="68"/>
        <v>1</v>
      </c>
      <c r="L365" s="958"/>
      <c r="M365" s="53">
        <f t="shared" si="69"/>
        <v>1</v>
      </c>
      <c r="N365" s="958"/>
      <c r="O365" s="53">
        <f t="shared" si="70"/>
        <v>1</v>
      </c>
      <c r="P365" s="958"/>
      <c r="Q365" s="53">
        <f t="shared" si="71"/>
        <v>1</v>
      </c>
      <c r="R365" s="488">
        <f t="shared" si="72"/>
        <v>0</v>
      </c>
      <c r="S365" s="795">
        <f t="shared" si="63"/>
        <v>0</v>
      </c>
    </row>
    <row r="366" spans="1:19">
      <c r="A366" s="960"/>
      <c r="B366" s="137"/>
      <c r="C366" s="53">
        <f t="shared" si="64"/>
        <v>1</v>
      </c>
      <c r="D366" s="958"/>
      <c r="E366" s="53">
        <f t="shared" si="65"/>
        <v>1</v>
      </c>
      <c r="F366" s="958"/>
      <c r="G366" s="53">
        <f t="shared" si="66"/>
        <v>1</v>
      </c>
      <c r="H366" s="958"/>
      <c r="I366" s="53">
        <f t="shared" si="67"/>
        <v>1</v>
      </c>
      <c r="J366" s="958"/>
      <c r="K366" s="53">
        <f t="shared" si="68"/>
        <v>1</v>
      </c>
      <c r="L366" s="958"/>
      <c r="M366" s="53">
        <f t="shared" si="69"/>
        <v>1</v>
      </c>
      <c r="N366" s="958"/>
      <c r="O366" s="53">
        <f t="shared" si="70"/>
        <v>1</v>
      </c>
      <c r="P366" s="958"/>
      <c r="Q366" s="53">
        <f t="shared" si="71"/>
        <v>1</v>
      </c>
      <c r="R366" s="488">
        <f t="shared" si="72"/>
        <v>0</v>
      </c>
      <c r="S366" s="795">
        <f t="shared" si="63"/>
        <v>0</v>
      </c>
    </row>
    <row r="367" spans="1:19">
      <c r="A367" s="960"/>
      <c r="B367" s="137"/>
      <c r="C367" s="53">
        <f t="shared" si="64"/>
        <v>1</v>
      </c>
      <c r="D367" s="958"/>
      <c r="E367" s="53">
        <f t="shared" si="65"/>
        <v>1</v>
      </c>
      <c r="F367" s="958"/>
      <c r="G367" s="53">
        <f t="shared" si="66"/>
        <v>1</v>
      </c>
      <c r="H367" s="958"/>
      <c r="I367" s="53">
        <f t="shared" si="67"/>
        <v>1</v>
      </c>
      <c r="J367" s="958"/>
      <c r="K367" s="53">
        <f t="shared" si="68"/>
        <v>1</v>
      </c>
      <c r="L367" s="958"/>
      <c r="M367" s="53">
        <f t="shared" si="69"/>
        <v>1</v>
      </c>
      <c r="N367" s="958"/>
      <c r="O367" s="53">
        <f t="shared" si="70"/>
        <v>1</v>
      </c>
      <c r="P367" s="958"/>
      <c r="Q367" s="53">
        <f t="shared" si="71"/>
        <v>1</v>
      </c>
      <c r="R367" s="488">
        <f t="shared" si="72"/>
        <v>0</v>
      </c>
      <c r="S367" s="795">
        <f t="shared" si="63"/>
        <v>0</v>
      </c>
    </row>
    <row r="368" spans="1:19">
      <c r="A368" s="960"/>
      <c r="B368" s="137"/>
      <c r="C368" s="53">
        <f t="shared" si="64"/>
        <v>1</v>
      </c>
      <c r="D368" s="958"/>
      <c r="E368" s="53">
        <f t="shared" si="65"/>
        <v>1</v>
      </c>
      <c r="F368" s="958"/>
      <c r="G368" s="53">
        <f t="shared" si="66"/>
        <v>1</v>
      </c>
      <c r="H368" s="958"/>
      <c r="I368" s="53">
        <f t="shared" si="67"/>
        <v>1</v>
      </c>
      <c r="J368" s="958"/>
      <c r="K368" s="53">
        <f t="shared" si="68"/>
        <v>1</v>
      </c>
      <c r="L368" s="958"/>
      <c r="M368" s="53">
        <f t="shared" si="69"/>
        <v>1</v>
      </c>
      <c r="N368" s="958"/>
      <c r="O368" s="53">
        <f t="shared" si="70"/>
        <v>1</v>
      </c>
      <c r="P368" s="958"/>
      <c r="Q368" s="53">
        <f t="shared" si="71"/>
        <v>1</v>
      </c>
      <c r="R368" s="488">
        <f t="shared" si="72"/>
        <v>0</v>
      </c>
      <c r="S368" s="795">
        <f t="shared" si="63"/>
        <v>0</v>
      </c>
    </row>
    <row r="369" spans="1:19">
      <c r="A369" s="960"/>
      <c r="B369" s="137"/>
      <c r="C369" s="53">
        <f t="shared" si="64"/>
        <v>1</v>
      </c>
      <c r="D369" s="958"/>
      <c r="E369" s="53">
        <f t="shared" si="65"/>
        <v>1</v>
      </c>
      <c r="F369" s="958"/>
      <c r="G369" s="53">
        <f t="shared" si="66"/>
        <v>1</v>
      </c>
      <c r="H369" s="958"/>
      <c r="I369" s="53">
        <f t="shared" si="67"/>
        <v>1</v>
      </c>
      <c r="J369" s="958"/>
      <c r="K369" s="53">
        <f t="shared" si="68"/>
        <v>1</v>
      </c>
      <c r="L369" s="958"/>
      <c r="M369" s="53">
        <f t="shared" si="69"/>
        <v>1</v>
      </c>
      <c r="N369" s="958"/>
      <c r="O369" s="53">
        <f t="shared" si="70"/>
        <v>1</v>
      </c>
      <c r="P369" s="958"/>
      <c r="Q369" s="53">
        <f t="shared" si="71"/>
        <v>1</v>
      </c>
      <c r="R369" s="488">
        <f t="shared" si="72"/>
        <v>0</v>
      </c>
      <c r="S369" s="795">
        <f t="shared" si="63"/>
        <v>0</v>
      </c>
    </row>
    <row r="370" spans="1:19">
      <c r="A370" s="960"/>
      <c r="B370" s="137"/>
      <c r="C370" s="53">
        <f t="shared" si="64"/>
        <v>1</v>
      </c>
      <c r="D370" s="958"/>
      <c r="E370" s="53">
        <f t="shared" si="65"/>
        <v>1</v>
      </c>
      <c r="F370" s="958"/>
      <c r="G370" s="53">
        <f t="shared" si="66"/>
        <v>1</v>
      </c>
      <c r="H370" s="958"/>
      <c r="I370" s="53">
        <f t="shared" si="67"/>
        <v>1</v>
      </c>
      <c r="J370" s="958"/>
      <c r="K370" s="53">
        <f t="shared" si="68"/>
        <v>1</v>
      </c>
      <c r="L370" s="958"/>
      <c r="M370" s="53">
        <f t="shared" si="69"/>
        <v>1</v>
      </c>
      <c r="N370" s="958"/>
      <c r="O370" s="53">
        <f t="shared" si="70"/>
        <v>1</v>
      </c>
      <c r="P370" s="958"/>
      <c r="Q370" s="53">
        <f t="shared" si="71"/>
        <v>1</v>
      </c>
      <c r="R370" s="488">
        <f t="shared" si="72"/>
        <v>0</v>
      </c>
      <c r="S370" s="795">
        <f t="shared" si="63"/>
        <v>0</v>
      </c>
    </row>
    <row r="371" spans="1:19">
      <c r="A371" s="960"/>
      <c r="B371" s="137"/>
      <c r="C371" s="53">
        <f t="shared" si="64"/>
        <v>1</v>
      </c>
      <c r="D371" s="958"/>
      <c r="E371" s="53">
        <f t="shared" si="65"/>
        <v>1</v>
      </c>
      <c r="F371" s="958"/>
      <c r="G371" s="53">
        <f t="shared" si="66"/>
        <v>1</v>
      </c>
      <c r="H371" s="958"/>
      <c r="I371" s="53">
        <f t="shared" si="67"/>
        <v>1</v>
      </c>
      <c r="J371" s="958"/>
      <c r="K371" s="53">
        <f t="shared" si="68"/>
        <v>1</v>
      </c>
      <c r="L371" s="958"/>
      <c r="M371" s="53">
        <f t="shared" si="69"/>
        <v>1</v>
      </c>
      <c r="N371" s="958"/>
      <c r="O371" s="53">
        <f t="shared" si="70"/>
        <v>1</v>
      </c>
      <c r="P371" s="958"/>
      <c r="Q371" s="53">
        <f t="shared" si="71"/>
        <v>1</v>
      </c>
      <c r="R371" s="488">
        <f t="shared" si="72"/>
        <v>0</v>
      </c>
      <c r="S371" s="795">
        <f t="shared" si="63"/>
        <v>0</v>
      </c>
    </row>
    <row r="372" spans="1:19">
      <c r="A372" s="960"/>
      <c r="B372" s="137"/>
      <c r="C372" s="53">
        <f t="shared" si="64"/>
        <v>1</v>
      </c>
      <c r="D372" s="958"/>
      <c r="E372" s="53">
        <f t="shared" si="65"/>
        <v>1</v>
      </c>
      <c r="F372" s="958"/>
      <c r="G372" s="53">
        <f t="shared" si="66"/>
        <v>1</v>
      </c>
      <c r="H372" s="958"/>
      <c r="I372" s="53">
        <f t="shared" si="67"/>
        <v>1</v>
      </c>
      <c r="J372" s="958"/>
      <c r="K372" s="53">
        <f t="shared" si="68"/>
        <v>1</v>
      </c>
      <c r="L372" s="958"/>
      <c r="M372" s="53">
        <f t="shared" si="69"/>
        <v>1</v>
      </c>
      <c r="N372" s="958"/>
      <c r="O372" s="53">
        <f t="shared" si="70"/>
        <v>1</v>
      </c>
      <c r="P372" s="958"/>
      <c r="Q372" s="53">
        <f t="shared" si="71"/>
        <v>1</v>
      </c>
      <c r="R372" s="488">
        <f t="shared" si="72"/>
        <v>0</v>
      </c>
      <c r="S372" s="795">
        <f t="shared" si="63"/>
        <v>0</v>
      </c>
    </row>
    <row r="373" spans="1:19">
      <c r="A373" s="960"/>
      <c r="B373" s="137"/>
      <c r="C373" s="53">
        <f t="shared" si="64"/>
        <v>1</v>
      </c>
      <c r="D373" s="958"/>
      <c r="E373" s="53">
        <f t="shared" si="65"/>
        <v>1</v>
      </c>
      <c r="F373" s="958"/>
      <c r="G373" s="53">
        <f t="shared" si="66"/>
        <v>1</v>
      </c>
      <c r="H373" s="958"/>
      <c r="I373" s="53">
        <f t="shared" si="67"/>
        <v>1</v>
      </c>
      <c r="J373" s="958"/>
      <c r="K373" s="53">
        <f t="shared" si="68"/>
        <v>1</v>
      </c>
      <c r="L373" s="958"/>
      <c r="M373" s="53">
        <f t="shared" si="69"/>
        <v>1</v>
      </c>
      <c r="N373" s="958"/>
      <c r="O373" s="53">
        <f t="shared" si="70"/>
        <v>1</v>
      </c>
      <c r="P373" s="958"/>
      <c r="Q373" s="53">
        <f t="shared" si="71"/>
        <v>1</v>
      </c>
      <c r="R373" s="488">
        <f t="shared" si="72"/>
        <v>0</v>
      </c>
      <c r="S373" s="795">
        <f t="shared" si="63"/>
        <v>0</v>
      </c>
    </row>
    <row r="374" spans="1:19">
      <c r="A374" s="960"/>
      <c r="B374" s="137"/>
      <c r="C374" s="53">
        <f t="shared" si="64"/>
        <v>1</v>
      </c>
      <c r="D374" s="958"/>
      <c r="E374" s="53">
        <f t="shared" si="65"/>
        <v>1</v>
      </c>
      <c r="F374" s="958"/>
      <c r="G374" s="53">
        <f t="shared" si="66"/>
        <v>1</v>
      </c>
      <c r="H374" s="958"/>
      <c r="I374" s="53">
        <f t="shared" si="67"/>
        <v>1</v>
      </c>
      <c r="J374" s="958"/>
      <c r="K374" s="53">
        <f t="shared" si="68"/>
        <v>1</v>
      </c>
      <c r="L374" s="958"/>
      <c r="M374" s="53">
        <f t="shared" si="69"/>
        <v>1</v>
      </c>
      <c r="N374" s="958"/>
      <c r="O374" s="53">
        <f t="shared" si="70"/>
        <v>1</v>
      </c>
      <c r="P374" s="958"/>
      <c r="Q374" s="53">
        <f t="shared" si="71"/>
        <v>1</v>
      </c>
      <c r="R374" s="488">
        <f t="shared" si="72"/>
        <v>0</v>
      </c>
      <c r="S374" s="795">
        <f t="shared" si="63"/>
        <v>0</v>
      </c>
    </row>
    <row r="375" spans="1:19">
      <c r="A375" s="960"/>
      <c r="B375" s="137"/>
      <c r="C375" s="53">
        <f t="shared" si="64"/>
        <v>1</v>
      </c>
      <c r="D375" s="958"/>
      <c r="E375" s="53">
        <f t="shared" si="65"/>
        <v>1</v>
      </c>
      <c r="F375" s="958"/>
      <c r="G375" s="53">
        <f t="shared" si="66"/>
        <v>1</v>
      </c>
      <c r="H375" s="958"/>
      <c r="I375" s="53">
        <f t="shared" si="67"/>
        <v>1</v>
      </c>
      <c r="J375" s="958"/>
      <c r="K375" s="53">
        <f t="shared" si="68"/>
        <v>1</v>
      </c>
      <c r="L375" s="958"/>
      <c r="M375" s="53">
        <f t="shared" si="69"/>
        <v>1</v>
      </c>
      <c r="N375" s="958"/>
      <c r="O375" s="53">
        <f t="shared" si="70"/>
        <v>1</v>
      </c>
      <c r="P375" s="958"/>
      <c r="Q375" s="53">
        <f t="shared" si="71"/>
        <v>1</v>
      </c>
      <c r="R375" s="488">
        <f t="shared" si="72"/>
        <v>0</v>
      </c>
      <c r="S375" s="795">
        <f t="shared" si="63"/>
        <v>0</v>
      </c>
    </row>
    <row r="376" spans="1:19">
      <c r="A376" s="960"/>
      <c r="B376" s="137"/>
      <c r="C376" s="53">
        <f t="shared" si="64"/>
        <v>1</v>
      </c>
      <c r="D376" s="958"/>
      <c r="E376" s="53">
        <f t="shared" si="65"/>
        <v>1</v>
      </c>
      <c r="F376" s="958"/>
      <c r="G376" s="53">
        <f t="shared" si="66"/>
        <v>1</v>
      </c>
      <c r="H376" s="958"/>
      <c r="I376" s="53">
        <f t="shared" si="67"/>
        <v>1</v>
      </c>
      <c r="J376" s="958"/>
      <c r="K376" s="53">
        <f t="shared" si="68"/>
        <v>1</v>
      </c>
      <c r="L376" s="958"/>
      <c r="M376" s="53">
        <f t="shared" si="69"/>
        <v>1</v>
      </c>
      <c r="N376" s="958"/>
      <c r="O376" s="53">
        <f t="shared" si="70"/>
        <v>1</v>
      </c>
      <c r="P376" s="958"/>
      <c r="Q376" s="53">
        <f t="shared" si="71"/>
        <v>1</v>
      </c>
      <c r="R376" s="488">
        <f t="shared" si="72"/>
        <v>0</v>
      </c>
      <c r="S376" s="795">
        <f t="shared" si="63"/>
        <v>0</v>
      </c>
    </row>
    <row r="377" spans="1:19">
      <c r="A377" s="960"/>
      <c r="B377" s="137"/>
      <c r="C377" s="53">
        <f t="shared" si="64"/>
        <v>1</v>
      </c>
      <c r="D377" s="958"/>
      <c r="E377" s="53">
        <f t="shared" si="65"/>
        <v>1</v>
      </c>
      <c r="F377" s="958"/>
      <c r="G377" s="53">
        <f t="shared" si="66"/>
        <v>1</v>
      </c>
      <c r="H377" s="958"/>
      <c r="I377" s="53">
        <f t="shared" si="67"/>
        <v>1</v>
      </c>
      <c r="J377" s="958"/>
      <c r="K377" s="53">
        <f t="shared" si="68"/>
        <v>1</v>
      </c>
      <c r="L377" s="958"/>
      <c r="M377" s="53">
        <f t="shared" si="69"/>
        <v>1</v>
      </c>
      <c r="N377" s="958"/>
      <c r="O377" s="53">
        <f t="shared" si="70"/>
        <v>1</v>
      </c>
      <c r="P377" s="958"/>
      <c r="Q377" s="53">
        <f t="shared" si="71"/>
        <v>1</v>
      </c>
      <c r="R377" s="488">
        <f t="shared" si="72"/>
        <v>0</v>
      </c>
      <c r="S377" s="795">
        <f t="shared" si="63"/>
        <v>0</v>
      </c>
    </row>
    <row r="378" spans="1:19">
      <c r="A378" s="960"/>
      <c r="B378" s="137"/>
      <c r="C378" s="53">
        <f t="shared" si="64"/>
        <v>1</v>
      </c>
      <c r="D378" s="958"/>
      <c r="E378" s="53">
        <f t="shared" si="65"/>
        <v>1</v>
      </c>
      <c r="F378" s="958"/>
      <c r="G378" s="53">
        <f t="shared" si="66"/>
        <v>1</v>
      </c>
      <c r="H378" s="958"/>
      <c r="I378" s="53">
        <f t="shared" si="67"/>
        <v>1</v>
      </c>
      <c r="J378" s="958"/>
      <c r="K378" s="53">
        <f t="shared" si="68"/>
        <v>1</v>
      </c>
      <c r="L378" s="958"/>
      <c r="M378" s="53">
        <f t="shared" si="69"/>
        <v>1</v>
      </c>
      <c r="N378" s="958"/>
      <c r="O378" s="53">
        <f t="shared" si="70"/>
        <v>1</v>
      </c>
      <c r="P378" s="958"/>
      <c r="Q378" s="53">
        <f t="shared" si="71"/>
        <v>1</v>
      </c>
      <c r="R378" s="488">
        <f t="shared" si="72"/>
        <v>0</v>
      </c>
      <c r="S378" s="795">
        <f t="shared" si="63"/>
        <v>0</v>
      </c>
    </row>
    <row r="379" spans="1:19">
      <c r="A379" s="960"/>
      <c r="B379" s="137"/>
      <c r="C379" s="53">
        <f t="shared" si="64"/>
        <v>1</v>
      </c>
      <c r="D379" s="958"/>
      <c r="E379" s="53">
        <f t="shared" si="65"/>
        <v>1</v>
      </c>
      <c r="F379" s="958"/>
      <c r="G379" s="53">
        <f t="shared" si="66"/>
        <v>1</v>
      </c>
      <c r="H379" s="958"/>
      <c r="I379" s="53">
        <f t="shared" si="67"/>
        <v>1</v>
      </c>
      <c r="J379" s="958"/>
      <c r="K379" s="53">
        <f t="shared" si="68"/>
        <v>1</v>
      </c>
      <c r="L379" s="958"/>
      <c r="M379" s="53">
        <f t="shared" si="69"/>
        <v>1</v>
      </c>
      <c r="N379" s="958"/>
      <c r="O379" s="53">
        <f t="shared" si="70"/>
        <v>1</v>
      </c>
      <c r="P379" s="958"/>
      <c r="Q379" s="53">
        <f t="shared" si="71"/>
        <v>1</v>
      </c>
      <c r="R379" s="488">
        <f t="shared" si="72"/>
        <v>0</v>
      </c>
      <c r="S379" s="795">
        <f t="shared" si="63"/>
        <v>0</v>
      </c>
    </row>
    <row r="380" spans="1:19">
      <c r="A380" s="960"/>
      <c r="B380" s="137"/>
      <c r="C380" s="53">
        <f t="shared" si="64"/>
        <v>1</v>
      </c>
      <c r="D380" s="958"/>
      <c r="E380" s="53">
        <f t="shared" si="65"/>
        <v>1</v>
      </c>
      <c r="F380" s="958"/>
      <c r="G380" s="53">
        <f t="shared" si="66"/>
        <v>1</v>
      </c>
      <c r="H380" s="958"/>
      <c r="I380" s="53">
        <f t="shared" si="67"/>
        <v>1</v>
      </c>
      <c r="J380" s="958"/>
      <c r="K380" s="53">
        <f t="shared" si="68"/>
        <v>1</v>
      </c>
      <c r="L380" s="958"/>
      <c r="M380" s="53">
        <f t="shared" si="69"/>
        <v>1</v>
      </c>
      <c r="N380" s="958"/>
      <c r="O380" s="53">
        <f t="shared" si="70"/>
        <v>1</v>
      </c>
      <c r="P380" s="958"/>
      <c r="Q380" s="53">
        <f t="shared" si="71"/>
        <v>1</v>
      </c>
      <c r="R380" s="488">
        <f t="shared" si="72"/>
        <v>0</v>
      </c>
      <c r="S380" s="795">
        <f t="shared" si="63"/>
        <v>0</v>
      </c>
    </row>
    <row r="381" spans="1:19">
      <c r="A381" s="960"/>
      <c r="B381" s="137"/>
      <c r="C381" s="53">
        <f t="shared" si="64"/>
        <v>1</v>
      </c>
      <c r="D381" s="958"/>
      <c r="E381" s="53">
        <f t="shared" si="65"/>
        <v>1</v>
      </c>
      <c r="F381" s="958"/>
      <c r="G381" s="53">
        <f t="shared" si="66"/>
        <v>1</v>
      </c>
      <c r="H381" s="958"/>
      <c r="I381" s="53">
        <f t="shared" si="67"/>
        <v>1</v>
      </c>
      <c r="J381" s="958"/>
      <c r="K381" s="53">
        <f t="shared" si="68"/>
        <v>1</v>
      </c>
      <c r="L381" s="958"/>
      <c r="M381" s="53">
        <f t="shared" si="69"/>
        <v>1</v>
      </c>
      <c r="N381" s="958"/>
      <c r="O381" s="53">
        <f t="shared" si="70"/>
        <v>1</v>
      </c>
      <c r="P381" s="958"/>
      <c r="Q381" s="53">
        <f t="shared" si="71"/>
        <v>1</v>
      </c>
      <c r="R381" s="488">
        <f t="shared" si="72"/>
        <v>0</v>
      </c>
      <c r="S381" s="795">
        <f t="shared" si="63"/>
        <v>0</v>
      </c>
    </row>
    <row r="382" spans="1:19">
      <c r="A382" s="960"/>
      <c r="B382" s="137"/>
      <c r="C382" s="53">
        <f t="shared" si="64"/>
        <v>1</v>
      </c>
      <c r="D382" s="958"/>
      <c r="E382" s="53">
        <f t="shared" si="65"/>
        <v>1</v>
      </c>
      <c r="F382" s="958"/>
      <c r="G382" s="53">
        <f t="shared" si="66"/>
        <v>1</v>
      </c>
      <c r="H382" s="958"/>
      <c r="I382" s="53">
        <f t="shared" si="67"/>
        <v>1</v>
      </c>
      <c r="J382" s="958"/>
      <c r="K382" s="53">
        <f t="shared" si="68"/>
        <v>1</v>
      </c>
      <c r="L382" s="958"/>
      <c r="M382" s="53">
        <f t="shared" si="69"/>
        <v>1</v>
      </c>
      <c r="N382" s="958"/>
      <c r="O382" s="53">
        <f t="shared" si="70"/>
        <v>1</v>
      </c>
      <c r="P382" s="958"/>
      <c r="Q382" s="53">
        <f t="shared" si="71"/>
        <v>1</v>
      </c>
      <c r="R382" s="488">
        <f t="shared" si="72"/>
        <v>0</v>
      </c>
      <c r="S382" s="795">
        <f t="shared" si="63"/>
        <v>0</v>
      </c>
    </row>
    <row r="383" spans="1:19">
      <c r="A383" s="960"/>
      <c r="B383" s="137"/>
      <c r="C383" s="53">
        <f t="shared" si="64"/>
        <v>1</v>
      </c>
      <c r="D383" s="958"/>
      <c r="E383" s="53">
        <f t="shared" si="65"/>
        <v>1</v>
      </c>
      <c r="F383" s="958"/>
      <c r="G383" s="53">
        <f t="shared" si="66"/>
        <v>1</v>
      </c>
      <c r="H383" s="958"/>
      <c r="I383" s="53">
        <f t="shared" si="67"/>
        <v>1</v>
      </c>
      <c r="J383" s="958"/>
      <c r="K383" s="53">
        <f t="shared" si="68"/>
        <v>1</v>
      </c>
      <c r="L383" s="958"/>
      <c r="M383" s="53">
        <f t="shared" si="69"/>
        <v>1</v>
      </c>
      <c r="N383" s="958"/>
      <c r="O383" s="53">
        <f t="shared" si="70"/>
        <v>1</v>
      </c>
      <c r="P383" s="958"/>
      <c r="Q383" s="53">
        <f t="shared" si="71"/>
        <v>1</v>
      </c>
      <c r="R383" s="488">
        <f t="shared" si="72"/>
        <v>0</v>
      </c>
      <c r="S383" s="795">
        <f t="shared" si="63"/>
        <v>0</v>
      </c>
    </row>
    <row r="384" spans="1:19">
      <c r="A384" s="960"/>
      <c r="B384" s="137"/>
      <c r="C384" s="53">
        <f t="shared" si="64"/>
        <v>1</v>
      </c>
      <c r="D384" s="958"/>
      <c r="E384" s="53">
        <f t="shared" si="65"/>
        <v>1</v>
      </c>
      <c r="F384" s="958"/>
      <c r="G384" s="53">
        <f t="shared" si="66"/>
        <v>1</v>
      </c>
      <c r="H384" s="958"/>
      <c r="I384" s="53">
        <f t="shared" si="67"/>
        <v>1</v>
      </c>
      <c r="J384" s="958"/>
      <c r="K384" s="53">
        <f t="shared" si="68"/>
        <v>1</v>
      </c>
      <c r="L384" s="958"/>
      <c r="M384" s="53">
        <f t="shared" si="69"/>
        <v>1</v>
      </c>
      <c r="N384" s="958"/>
      <c r="O384" s="53">
        <f t="shared" si="70"/>
        <v>1</v>
      </c>
      <c r="P384" s="958"/>
      <c r="Q384" s="53">
        <f t="shared" si="71"/>
        <v>1</v>
      </c>
      <c r="R384" s="488">
        <f t="shared" si="72"/>
        <v>0</v>
      </c>
      <c r="S384" s="795">
        <f t="shared" si="63"/>
        <v>0</v>
      </c>
    </row>
    <row r="385" spans="1:19">
      <c r="A385" s="960"/>
      <c r="B385" s="137"/>
      <c r="C385" s="53">
        <f t="shared" si="64"/>
        <v>1</v>
      </c>
      <c r="D385" s="958"/>
      <c r="E385" s="53">
        <f t="shared" si="65"/>
        <v>1</v>
      </c>
      <c r="F385" s="958"/>
      <c r="G385" s="53">
        <f t="shared" si="66"/>
        <v>1</v>
      </c>
      <c r="H385" s="958"/>
      <c r="I385" s="53">
        <f t="shared" si="67"/>
        <v>1</v>
      </c>
      <c r="J385" s="958"/>
      <c r="K385" s="53">
        <f t="shared" si="68"/>
        <v>1</v>
      </c>
      <c r="L385" s="958"/>
      <c r="M385" s="53">
        <f t="shared" si="69"/>
        <v>1</v>
      </c>
      <c r="N385" s="958"/>
      <c r="O385" s="53">
        <f t="shared" si="70"/>
        <v>1</v>
      </c>
      <c r="P385" s="958"/>
      <c r="Q385" s="53">
        <f t="shared" si="71"/>
        <v>1</v>
      </c>
      <c r="R385" s="488">
        <f t="shared" si="72"/>
        <v>0</v>
      </c>
      <c r="S385" s="795">
        <f t="shared" ref="S385:S422" si="73">ROUND(R385*B385/10000,0)</f>
        <v>0</v>
      </c>
    </row>
    <row r="386" spans="1:19">
      <c r="A386" s="960"/>
      <c r="B386" s="137"/>
      <c r="C386" s="53">
        <f t="shared" si="64"/>
        <v>1</v>
      </c>
      <c r="D386" s="958"/>
      <c r="E386" s="53">
        <f t="shared" si="65"/>
        <v>1</v>
      </c>
      <c r="F386" s="958"/>
      <c r="G386" s="53">
        <f t="shared" si="66"/>
        <v>1</v>
      </c>
      <c r="H386" s="958"/>
      <c r="I386" s="53">
        <f t="shared" si="67"/>
        <v>1</v>
      </c>
      <c r="J386" s="958"/>
      <c r="K386" s="53">
        <f t="shared" si="68"/>
        <v>1</v>
      </c>
      <c r="L386" s="958"/>
      <c r="M386" s="53">
        <f t="shared" si="69"/>
        <v>1</v>
      </c>
      <c r="N386" s="958"/>
      <c r="O386" s="53">
        <f t="shared" si="70"/>
        <v>1</v>
      </c>
      <c r="P386" s="958"/>
      <c r="Q386" s="53">
        <f t="shared" si="71"/>
        <v>1</v>
      </c>
      <c r="R386" s="488">
        <f t="shared" si="72"/>
        <v>0</v>
      </c>
      <c r="S386" s="795">
        <f t="shared" si="73"/>
        <v>0</v>
      </c>
    </row>
    <row r="387" spans="1:19">
      <c r="A387" s="960"/>
      <c r="B387" s="137"/>
      <c r="C387" s="53">
        <f t="shared" si="64"/>
        <v>1</v>
      </c>
      <c r="D387" s="958"/>
      <c r="E387" s="53">
        <f t="shared" si="65"/>
        <v>1</v>
      </c>
      <c r="F387" s="958"/>
      <c r="G387" s="53">
        <f t="shared" si="66"/>
        <v>1</v>
      </c>
      <c r="H387" s="958"/>
      <c r="I387" s="53">
        <f t="shared" si="67"/>
        <v>1</v>
      </c>
      <c r="J387" s="958"/>
      <c r="K387" s="53">
        <f t="shared" si="68"/>
        <v>1</v>
      </c>
      <c r="L387" s="958"/>
      <c r="M387" s="53">
        <f t="shared" si="69"/>
        <v>1</v>
      </c>
      <c r="N387" s="958"/>
      <c r="O387" s="53">
        <f t="shared" si="70"/>
        <v>1</v>
      </c>
      <c r="P387" s="958"/>
      <c r="Q387" s="53">
        <f t="shared" si="71"/>
        <v>1</v>
      </c>
      <c r="R387" s="488">
        <f t="shared" si="72"/>
        <v>0</v>
      </c>
      <c r="S387" s="795">
        <f t="shared" si="73"/>
        <v>0</v>
      </c>
    </row>
    <row r="388" spans="1:19">
      <c r="A388" s="960"/>
      <c r="B388" s="137"/>
      <c r="C388" s="53">
        <f t="shared" si="64"/>
        <v>1</v>
      </c>
      <c r="D388" s="958"/>
      <c r="E388" s="53">
        <f t="shared" si="65"/>
        <v>1</v>
      </c>
      <c r="F388" s="958"/>
      <c r="G388" s="53">
        <f t="shared" si="66"/>
        <v>1</v>
      </c>
      <c r="H388" s="958"/>
      <c r="I388" s="53">
        <f t="shared" si="67"/>
        <v>1</v>
      </c>
      <c r="J388" s="958"/>
      <c r="K388" s="53">
        <f t="shared" si="68"/>
        <v>1</v>
      </c>
      <c r="L388" s="958"/>
      <c r="M388" s="53">
        <f t="shared" si="69"/>
        <v>1</v>
      </c>
      <c r="N388" s="958"/>
      <c r="O388" s="53">
        <f t="shared" si="70"/>
        <v>1</v>
      </c>
      <c r="P388" s="958"/>
      <c r="Q388" s="53">
        <f t="shared" si="71"/>
        <v>1</v>
      </c>
      <c r="R388" s="488">
        <f t="shared" si="72"/>
        <v>0</v>
      </c>
      <c r="S388" s="795">
        <f t="shared" si="73"/>
        <v>0</v>
      </c>
    </row>
    <row r="389" spans="1:19">
      <c r="A389" s="960"/>
      <c r="B389" s="137"/>
      <c r="C389" s="53">
        <f t="shared" si="64"/>
        <v>1</v>
      </c>
      <c r="D389" s="958"/>
      <c r="E389" s="53">
        <f t="shared" si="65"/>
        <v>1</v>
      </c>
      <c r="F389" s="958"/>
      <c r="G389" s="53">
        <f t="shared" si="66"/>
        <v>1</v>
      </c>
      <c r="H389" s="958"/>
      <c r="I389" s="53">
        <f t="shared" si="67"/>
        <v>1</v>
      </c>
      <c r="J389" s="958"/>
      <c r="K389" s="53">
        <f t="shared" si="68"/>
        <v>1</v>
      </c>
      <c r="L389" s="958"/>
      <c r="M389" s="53">
        <f t="shared" si="69"/>
        <v>1</v>
      </c>
      <c r="N389" s="958"/>
      <c r="O389" s="53">
        <f t="shared" si="70"/>
        <v>1</v>
      </c>
      <c r="P389" s="958"/>
      <c r="Q389" s="53">
        <f t="shared" si="71"/>
        <v>1</v>
      </c>
      <c r="R389" s="488">
        <f t="shared" si="72"/>
        <v>0</v>
      </c>
      <c r="S389" s="795">
        <f t="shared" si="73"/>
        <v>0</v>
      </c>
    </row>
    <row r="390" spans="1:19">
      <c r="A390" s="960"/>
      <c r="B390" s="137"/>
      <c r="C390" s="53">
        <f t="shared" si="64"/>
        <v>1</v>
      </c>
      <c r="D390" s="958"/>
      <c r="E390" s="53">
        <f t="shared" si="65"/>
        <v>1</v>
      </c>
      <c r="F390" s="958"/>
      <c r="G390" s="53">
        <f t="shared" si="66"/>
        <v>1</v>
      </c>
      <c r="H390" s="958"/>
      <c r="I390" s="53">
        <f t="shared" si="67"/>
        <v>1</v>
      </c>
      <c r="J390" s="958"/>
      <c r="K390" s="53">
        <f t="shared" si="68"/>
        <v>1</v>
      </c>
      <c r="L390" s="958"/>
      <c r="M390" s="53">
        <f t="shared" si="69"/>
        <v>1</v>
      </c>
      <c r="N390" s="958"/>
      <c r="O390" s="53">
        <f t="shared" si="70"/>
        <v>1</v>
      </c>
      <c r="P390" s="958"/>
      <c r="Q390" s="53">
        <f t="shared" si="71"/>
        <v>1</v>
      </c>
      <c r="R390" s="488">
        <f t="shared" si="72"/>
        <v>0</v>
      </c>
      <c r="S390" s="795">
        <f t="shared" si="73"/>
        <v>0</v>
      </c>
    </row>
    <row r="391" spans="1:19">
      <c r="A391" s="960"/>
      <c r="B391" s="137"/>
      <c r="C391" s="53">
        <f t="shared" si="64"/>
        <v>1</v>
      </c>
      <c r="D391" s="958"/>
      <c r="E391" s="53">
        <f t="shared" si="65"/>
        <v>1</v>
      </c>
      <c r="F391" s="958"/>
      <c r="G391" s="53">
        <f t="shared" si="66"/>
        <v>1</v>
      </c>
      <c r="H391" s="958"/>
      <c r="I391" s="53">
        <f t="shared" si="67"/>
        <v>1</v>
      </c>
      <c r="J391" s="958"/>
      <c r="K391" s="53">
        <f t="shared" si="68"/>
        <v>1</v>
      </c>
      <c r="L391" s="958"/>
      <c r="M391" s="53">
        <f t="shared" si="69"/>
        <v>1</v>
      </c>
      <c r="N391" s="958"/>
      <c r="O391" s="53">
        <f t="shared" si="70"/>
        <v>1</v>
      </c>
      <c r="P391" s="958"/>
      <c r="Q391" s="53">
        <f t="shared" si="71"/>
        <v>1</v>
      </c>
      <c r="R391" s="488">
        <f t="shared" si="72"/>
        <v>0</v>
      </c>
      <c r="S391" s="795">
        <f t="shared" si="73"/>
        <v>0</v>
      </c>
    </row>
    <row r="392" spans="1:19">
      <c r="A392" s="960"/>
      <c r="B392" s="137"/>
      <c r="C392" s="53">
        <f t="shared" si="64"/>
        <v>1</v>
      </c>
      <c r="D392" s="958"/>
      <c r="E392" s="53">
        <f t="shared" si="65"/>
        <v>1</v>
      </c>
      <c r="F392" s="958"/>
      <c r="G392" s="53">
        <f t="shared" si="66"/>
        <v>1</v>
      </c>
      <c r="H392" s="958"/>
      <c r="I392" s="53">
        <f t="shared" si="67"/>
        <v>1</v>
      </c>
      <c r="J392" s="958"/>
      <c r="K392" s="53">
        <f t="shared" si="68"/>
        <v>1</v>
      </c>
      <c r="L392" s="958"/>
      <c r="M392" s="53">
        <f t="shared" si="69"/>
        <v>1</v>
      </c>
      <c r="N392" s="958"/>
      <c r="O392" s="53">
        <f t="shared" si="70"/>
        <v>1</v>
      </c>
      <c r="P392" s="958"/>
      <c r="Q392" s="53">
        <f t="shared" si="71"/>
        <v>1</v>
      </c>
      <c r="R392" s="488">
        <f t="shared" si="72"/>
        <v>0</v>
      </c>
      <c r="S392" s="795">
        <f t="shared" si="73"/>
        <v>0</v>
      </c>
    </row>
    <row r="393" spans="1:19">
      <c r="A393" s="960"/>
      <c r="B393" s="137"/>
      <c r="C393" s="53">
        <f t="shared" si="64"/>
        <v>1</v>
      </c>
      <c r="D393" s="958"/>
      <c r="E393" s="53">
        <f t="shared" si="65"/>
        <v>1</v>
      </c>
      <c r="F393" s="958"/>
      <c r="G393" s="53">
        <f t="shared" si="66"/>
        <v>1</v>
      </c>
      <c r="H393" s="958"/>
      <c r="I393" s="53">
        <f t="shared" si="67"/>
        <v>1</v>
      </c>
      <c r="J393" s="958"/>
      <c r="K393" s="53">
        <f t="shared" si="68"/>
        <v>1</v>
      </c>
      <c r="L393" s="958"/>
      <c r="M393" s="53">
        <f t="shared" si="69"/>
        <v>1</v>
      </c>
      <c r="N393" s="958"/>
      <c r="O393" s="53">
        <f t="shared" si="70"/>
        <v>1</v>
      </c>
      <c r="P393" s="958"/>
      <c r="Q393" s="53">
        <f t="shared" si="71"/>
        <v>1</v>
      </c>
      <c r="R393" s="488">
        <f t="shared" si="72"/>
        <v>0</v>
      </c>
      <c r="S393" s="795">
        <f t="shared" si="73"/>
        <v>0</v>
      </c>
    </row>
    <row r="394" spans="1:19">
      <c r="A394" s="960"/>
      <c r="B394" s="137"/>
      <c r="C394" s="53">
        <f t="shared" si="64"/>
        <v>1</v>
      </c>
      <c r="D394" s="958"/>
      <c r="E394" s="53">
        <f t="shared" si="65"/>
        <v>1</v>
      </c>
      <c r="F394" s="958"/>
      <c r="G394" s="53">
        <f t="shared" si="66"/>
        <v>1</v>
      </c>
      <c r="H394" s="958"/>
      <c r="I394" s="53">
        <f t="shared" si="67"/>
        <v>1</v>
      </c>
      <c r="J394" s="958"/>
      <c r="K394" s="53">
        <f t="shared" si="68"/>
        <v>1</v>
      </c>
      <c r="L394" s="958"/>
      <c r="M394" s="53">
        <f t="shared" si="69"/>
        <v>1</v>
      </c>
      <c r="N394" s="958"/>
      <c r="O394" s="53">
        <f t="shared" si="70"/>
        <v>1</v>
      </c>
      <c r="P394" s="958"/>
      <c r="Q394" s="53">
        <f t="shared" si="71"/>
        <v>1</v>
      </c>
      <c r="R394" s="488">
        <f t="shared" si="72"/>
        <v>0</v>
      </c>
      <c r="S394" s="795">
        <f t="shared" si="73"/>
        <v>0</v>
      </c>
    </row>
    <row r="395" spans="1:19">
      <c r="A395" s="960"/>
      <c r="B395" s="137"/>
      <c r="C395" s="53">
        <f t="shared" si="64"/>
        <v>1</v>
      </c>
      <c r="D395" s="958"/>
      <c r="E395" s="53">
        <f t="shared" si="65"/>
        <v>1</v>
      </c>
      <c r="F395" s="958"/>
      <c r="G395" s="53">
        <f t="shared" si="66"/>
        <v>1</v>
      </c>
      <c r="H395" s="958"/>
      <c r="I395" s="53">
        <f t="shared" si="67"/>
        <v>1</v>
      </c>
      <c r="J395" s="958"/>
      <c r="K395" s="53">
        <f t="shared" si="68"/>
        <v>1</v>
      </c>
      <c r="L395" s="958"/>
      <c r="M395" s="53">
        <f t="shared" si="69"/>
        <v>1</v>
      </c>
      <c r="N395" s="958"/>
      <c r="O395" s="53">
        <f t="shared" si="70"/>
        <v>1</v>
      </c>
      <c r="P395" s="958"/>
      <c r="Q395" s="53">
        <f t="shared" si="71"/>
        <v>1</v>
      </c>
      <c r="R395" s="488">
        <f t="shared" si="72"/>
        <v>0</v>
      </c>
      <c r="S395" s="795">
        <f t="shared" si="73"/>
        <v>0</v>
      </c>
    </row>
    <row r="396" spans="1:19">
      <c r="A396" s="960"/>
      <c r="B396" s="137"/>
      <c r="C396" s="53">
        <f t="shared" si="64"/>
        <v>1</v>
      </c>
      <c r="D396" s="958"/>
      <c r="E396" s="53">
        <f t="shared" si="65"/>
        <v>1</v>
      </c>
      <c r="F396" s="958"/>
      <c r="G396" s="53">
        <f t="shared" si="66"/>
        <v>1</v>
      </c>
      <c r="H396" s="958"/>
      <c r="I396" s="53">
        <f t="shared" si="67"/>
        <v>1</v>
      </c>
      <c r="J396" s="958"/>
      <c r="K396" s="53">
        <f t="shared" si="68"/>
        <v>1</v>
      </c>
      <c r="L396" s="958"/>
      <c r="M396" s="53">
        <f t="shared" si="69"/>
        <v>1</v>
      </c>
      <c r="N396" s="958"/>
      <c r="O396" s="53">
        <f t="shared" si="70"/>
        <v>1</v>
      </c>
      <c r="P396" s="958"/>
      <c r="Q396" s="53">
        <f t="shared" si="71"/>
        <v>1</v>
      </c>
      <c r="R396" s="488">
        <f t="shared" si="72"/>
        <v>0</v>
      </c>
      <c r="S396" s="795">
        <f t="shared" si="73"/>
        <v>0</v>
      </c>
    </row>
    <row r="397" spans="1:19">
      <c r="A397" s="960"/>
      <c r="B397" s="137"/>
      <c r="C397" s="53">
        <f t="shared" si="64"/>
        <v>1</v>
      </c>
      <c r="D397" s="958"/>
      <c r="E397" s="53">
        <f t="shared" si="65"/>
        <v>1</v>
      </c>
      <c r="F397" s="958"/>
      <c r="G397" s="53">
        <f t="shared" si="66"/>
        <v>1</v>
      </c>
      <c r="H397" s="958"/>
      <c r="I397" s="53">
        <f t="shared" si="67"/>
        <v>1</v>
      </c>
      <c r="J397" s="958"/>
      <c r="K397" s="53">
        <f t="shared" si="68"/>
        <v>1</v>
      </c>
      <c r="L397" s="958"/>
      <c r="M397" s="53">
        <f t="shared" si="69"/>
        <v>1</v>
      </c>
      <c r="N397" s="958"/>
      <c r="O397" s="53">
        <f t="shared" si="70"/>
        <v>1</v>
      </c>
      <c r="P397" s="958"/>
      <c r="Q397" s="53">
        <f t="shared" si="71"/>
        <v>1</v>
      </c>
      <c r="R397" s="488">
        <f t="shared" si="72"/>
        <v>0</v>
      </c>
      <c r="S397" s="795">
        <f t="shared" si="73"/>
        <v>0</v>
      </c>
    </row>
    <row r="398" spans="1:19">
      <c r="A398" s="960"/>
      <c r="B398" s="137"/>
      <c r="C398" s="53">
        <f t="shared" si="64"/>
        <v>1</v>
      </c>
      <c r="D398" s="958"/>
      <c r="E398" s="53">
        <f t="shared" si="65"/>
        <v>1</v>
      </c>
      <c r="F398" s="958"/>
      <c r="G398" s="53">
        <f t="shared" si="66"/>
        <v>1</v>
      </c>
      <c r="H398" s="958"/>
      <c r="I398" s="53">
        <f t="shared" si="67"/>
        <v>1</v>
      </c>
      <c r="J398" s="958"/>
      <c r="K398" s="53">
        <f t="shared" si="68"/>
        <v>1</v>
      </c>
      <c r="L398" s="958"/>
      <c r="M398" s="53">
        <f t="shared" si="69"/>
        <v>1</v>
      </c>
      <c r="N398" s="958"/>
      <c r="O398" s="53">
        <f t="shared" si="70"/>
        <v>1</v>
      </c>
      <c r="P398" s="958"/>
      <c r="Q398" s="53">
        <f t="shared" si="71"/>
        <v>1</v>
      </c>
      <c r="R398" s="488">
        <f t="shared" si="72"/>
        <v>0</v>
      </c>
      <c r="S398" s="795">
        <f t="shared" si="73"/>
        <v>0</v>
      </c>
    </row>
    <row r="399" spans="1:19">
      <c r="A399" s="960"/>
      <c r="B399" s="137"/>
      <c r="C399" s="53">
        <f t="shared" si="64"/>
        <v>1</v>
      </c>
      <c r="D399" s="958"/>
      <c r="E399" s="53">
        <f t="shared" si="65"/>
        <v>1</v>
      </c>
      <c r="F399" s="958"/>
      <c r="G399" s="53">
        <f t="shared" si="66"/>
        <v>1</v>
      </c>
      <c r="H399" s="958"/>
      <c r="I399" s="53">
        <f t="shared" si="67"/>
        <v>1</v>
      </c>
      <c r="J399" s="958"/>
      <c r="K399" s="53">
        <f t="shared" si="68"/>
        <v>1</v>
      </c>
      <c r="L399" s="958"/>
      <c r="M399" s="53">
        <f t="shared" si="69"/>
        <v>1</v>
      </c>
      <c r="N399" s="958"/>
      <c r="O399" s="53">
        <f t="shared" si="70"/>
        <v>1</v>
      </c>
      <c r="P399" s="958"/>
      <c r="Q399" s="53">
        <f t="shared" si="71"/>
        <v>1</v>
      </c>
      <c r="R399" s="488">
        <f t="shared" si="72"/>
        <v>0</v>
      </c>
      <c r="S399" s="795">
        <f t="shared" si="73"/>
        <v>0</v>
      </c>
    </row>
    <row r="400" spans="1:19">
      <c r="A400" s="960"/>
      <c r="B400" s="137"/>
      <c r="C400" s="53">
        <f t="shared" si="64"/>
        <v>1</v>
      </c>
      <c r="D400" s="958"/>
      <c r="E400" s="53">
        <f t="shared" si="65"/>
        <v>1</v>
      </c>
      <c r="F400" s="958"/>
      <c r="G400" s="53">
        <f t="shared" si="66"/>
        <v>1</v>
      </c>
      <c r="H400" s="958"/>
      <c r="I400" s="53">
        <f t="shared" si="67"/>
        <v>1</v>
      </c>
      <c r="J400" s="958"/>
      <c r="K400" s="53">
        <f t="shared" si="68"/>
        <v>1</v>
      </c>
      <c r="L400" s="958"/>
      <c r="M400" s="53">
        <f t="shared" si="69"/>
        <v>1</v>
      </c>
      <c r="N400" s="958"/>
      <c r="O400" s="53">
        <f t="shared" si="70"/>
        <v>1</v>
      </c>
      <c r="P400" s="958"/>
      <c r="Q400" s="53">
        <f t="shared" si="71"/>
        <v>1</v>
      </c>
      <c r="R400" s="488">
        <f t="shared" si="72"/>
        <v>0</v>
      </c>
      <c r="S400" s="795">
        <f t="shared" si="73"/>
        <v>0</v>
      </c>
    </row>
    <row r="401" spans="1:19">
      <c r="A401" s="960"/>
      <c r="B401" s="137"/>
      <c r="C401" s="53">
        <f t="shared" si="64"/>
        <v>1</v>
      </c>
      <c r="D401" s="958"/>
      <c r="E401" s="53">
        <f t="shared" si="65"/>
        <v>1</v>
      </c>
      <c r="F401" s="958"/>
      <c r="G401" s="53">
        <f t="shared" si="66"/>
        <v>1</v>
      </c>
      <c r="H401" s="958"/>
      <c r="I401" s="53">
        <f t="shared" si="67"/>
        <v>1</v>
      </c>
      <c r="J401" s="958"/>
      <c r="K401" s="53">
        <f t="shared" si="68"/>
        <v>1</v>
      </c>
      <c r="L401" s="958"/>
      <c r="M401" s="53">
        <f t="shared" si="69"/>
        <v>1</v>
      </c>
      <c r="N401" s="958"/>
      <c r="O401" s="53">
        <f t="shared" si="70"/>
        <v>1</v>
      </c>
      <c r="P401" s="958"/>
      <c r="Q401" s="53">
        <f t="shared" si="71"/>
        <v>1</v>
      </c>
      <c r="R401" s="488">
        <f t="shared" si="72"/>
        <v>0</v>
      </c>
      <c r="S401" s="795">
        <f t="shared" si="73"/>
        <v>0</v>
      </c>
    </row>
    <row r="402" spans="1:19">
      <c r="A402" s="960"/>
      <c r="B402" s="137"/>
      <c r="C402" s="53">
        <f t="shared" si="64"/>
        <v>1</v>
      </c>
      <c r="D402" s="958"/>
      <c r="E402" s="53">
        <f t="shared" si="65"/>
        <v>1</v>
      </c>
      <c r="F402" s="958"/>
      <c r="G402" s="53">
        <f t="shared" si="66"/>
        <v>1</v>
      </c>
      <c r="H402" s="958"/>
      <c r="I402" s="53">
        <f t="shared" si="67"/>
        <v>1</v>
      </c>
      <c r="J402" s="958"/>
      <c r="K402" s="53">
        <f t="shared" si="68"/>
        <v>1</v>
      </c>
      <c r="L402" s="958"/>
      <c r="M402" s="53">
        <f t="shared" si="69"/>
        <v>1</v>
      </c>
      <c r="N402" s="958"/>
      <c r="O402" s="53">
        <f t="shared" si="70"/>
        <v>1</v>
      </c>
      <c r="P402" s="958"/>
      <c r="Q402" s="53">
        <f t="shared" si="71"/>
        <v>1</v>
      </c>
      <c r="R402" s="488">
        <f t="shared" si="72"/>
        <v>0</v>
      </c>
      <c r="S402" s="795">
        <f t="shared" si="73"/>
        <v>0</v>
      </c>
    </row>
    <row r="403" spans="1:19">
      <c r="A403" s="960"/>
      <c r="B403" s="137"/>
      <c r="C403" s="53">
        <f t="shared" si="64"/>
        <v>1</v>
      </c>
      <c r="D403" s="958"/>
      <c r="E403" s="53">
        <f t="shared" si="65"/>
        <v>1</v>
      </c>
      <c r="F403" s="958"/>
      <c r="G403" s="53">
        <f t="shared" si="66"/>
        <v>1</v>
      </c>
      <c r="H403" s="958"/>
      <c r="I403" s="53">
        <f t="shared" si="67"/>
        <v>1</v>
      </c>
      <c r="J403" s="958"/>
      <c r="K403" s="53">
        <f t="shared" si="68"/>
        <v>1</v>
      </c>
      <c r="L403" s="958"/>
      <c r="M403" s="53">
        <f t="shared" si="69"/>
        <v>1</v>
      </c>
      <c r="N403" s="958"/>
      <c r="O403" s="53">
        <f t="shared" si="70"/>
        <v>1</v>
      </c>
      <c r="P403" s="958"/>
      <c r="Q403" s="53">
        <f t="shared" si="71"/>
        <v>1</v>
      </c>
      <c r="R403" s="488">
        <f t="shared" si="72"/>
        <v>0</v>
      </c>
      <c r="S403" s="795">
        <f t="shared" si="73"/>
        <v>0</v>
      </c>
    </row>
    <row r="404" spans="1:19">
      <c r="A404" s="960"/>
      <c r="B404" s="137"/>
      <c r="C404" s="53">
        <f t="shared" si="64"/>
        <v>1</v>
      </c>
      <c r="D404" s="958"/>
      <c r="E404" s="53">
        <f t="shared" si="65"/>
        <v>1</v>
      </c>
      <c r="F404" s="958"/>
      <c r="G404" s="53">
        <f t="shared" si="66"/>
        <v>1</v>
      </c>
      <c r="H404" s="958"/>
      <c r="I404" s="53">
        <f t="shared" si="67"/>
        <v>1</v>
      </c>
      <c r="J404" s="958"/>
      <c r="K404" s="53">
        <f t="shared" si="68"/>
        <v>1</v>
      </c>
      <c r="L404" s="958"/>
      <c r="M404" s="53">
        <f t="shared" si="69"/>
        <v>1</v>
      </c>
      <c r="N404" s="958"/>
      <c r="O404" s="53">
        <f t="shared" si="70"/>
        <v>1</v>
      </c>
      <c r="P404" s="958"/>
      <c r="Q404" s="53">
        <f t="shared" si="71"/>
        <v>1</v>
      </c>
      <c r="R404" s="488">
        <f t="shared" si="72"/>
        <v>0</v>
      </c>
      <c r="S404" s="795">
        <f t="shared" si="73"/>
        <v>0</v>
      </c>
    </row>
    <row r="405" spans="1:19">
      <c r="A405" s="960"/>
      <c r="B405" s="137"/>
      <c r="C405" s="53">
        <f t="shared" si="64"/>
        <v>1</v>
      </c>
      <c r="D405" s="958"/>
      <c r="E405" s="53">
        <f t="shared" si="65"/>
        <v>1</v>
      </c>
      <c r="F405" s="958"/>
      <c r="G405" s="53">
        <f t="shared" si="66"/>
        <v>1</v>
      </c>
      <c r="H405" s="958"/>
      <c r="I405" s="53">
        <f t="shared" si="67"/>
        <v>1</v>
      </c>
      <c r="J405" s="958"/>
      <c r="K405" s="53">
        <f t="shared" si="68"/>
        <v>1</v>
      </c>
      <c r="L405" s="958"/>
      <c r="M405" s="53">
        <f t="shared" si="69"/>
        <v>1</v>
      </c>
      <c r="N405" s="958"/>
      <c r="O405" s="53">
        <f t="shared" si="70"/>
        <v>1</v>
      </c>
      <c r="P405" s="958"/>
      <c r="Q405" s="53">
        <f t="shared" si="71"/>
        <v>1</v>
      </c>
      <c r="R405" s="488">
        <f t="shared" si="72"/>
        <v>0</v>
      </c>
      <c r="S405" s="795">
        <f t="shared" si="73"/>
        <v>0</v>
      </c>
    </row>
    <row r="406" spans="1:19">
      <c r="A406" s="960"/>
      <c r="B406" s="137"/>
      <c r="C406" s="53">
        <f t="shared" si="64"/>
        <v>1</v>
      </c>
      <c r="D406" s="958"/>
      <c r="E406" s="53">
        <f t="shared" si="65"/>
        <v>1</v>
      </c>
      <c r="F406" s="958"/>
      <c r="G406" s="53">
        <f t="shared" si="66"/>
        <v>1</v>
      </c>
      <c r="H406" s="958"/>
      <c r="I406" s="53">
        <f t="shared" si="67"/>
        <v>1</v>
      </c>
      <c r="J406" s="958"/>
      <c r="K406" s="53">
        <f t="shared" si="68"/>
        <v>1</v>
      </c>
      <c r="L406" s="958"/>
      <c r="M406" s="53">
        <f t="shared" si="69"/>
        <v>1</v>
      </c>
      <c r="N406" s="958"/>
      <c r="O406" s="53">
        <f t="shared" si="70"/>
        <v>1</v>
      </c>
      <c r="P406" s="958"/>
      <c r="Q406" s="53">
        <f t="shared" si="71"/>
        <v>1</v>
      </c>
      <c r="R406" s="488">
        <f t="shared" si="72"/>
        <v>0</v>
      </c>
      <c r="S406" s="795">
        <f t="shared" si="73"/>
        <v>0</v>
      </c>
    </row>
    <row r="407" spans="1:19">
      <c r="A407" s="960"/>
      <c r="B407" s="137"/>
      <c r="C407" s="53">
        <f t="shared" si="64"/>
        <v>1</v>
      </c>
      <c r="D407" s="958"/>
      <c r="E407" s="53">
        <f t="shared" si="65"/>
        <v>1</v>
      </c>
      <c r="F407" s="958"/>
      <c r="G407" s="53">
        <f t="shared" si="66"/>
        <v>1</v>
      </c>
      <c r="H407" s="958"/>
      <c r="I407" s="53">
        <f t="shared" si="67"/>
        <v>1</v>
      </c>
      <c r="J407" s="958"/>
      <c r="K407" s="53">
        <f t="shared" si="68"/>
        <v>1</v>
      </c>
      <c r="L407" s="958"/>
      <c r="M407" s="53">
        <f t="shared" si="69"/>
        <v>1</v>
      </c>
      <c r="N407" s="958"/>
      <c r="O407" s="53">
        <f t="shared" si="70"/>
        <v>1</v>
      </c>
      <c r="P407" s="958"/>
      <c r="Q407" s="53">
        <f t="shared" si="71"/>
        <v>1</v>
      </c>
      <c r="R407" s="488">
        <f t="shared" si="72"/>
        <v>0</v>
      </c>
      <c r="S407" s="795">
        <f t="shared" si="73"/>
        <v>0</v>
      </c>
    </row>
    <row r="408" spans="1:19">
      <c r="A408" s="960"/>
      <c r="B408" s="137"/>
      <c r="C408" s="53">
        <f t="shared" si="64"/>
        <v>1</v>
      </c>
      <c r="D408" s="958"/>
      <c r="E408" s="53">
        <f t="shared" si="65"/>
        <v>1</v>
      </c>
      <c r="F408" s="958"/>
      <c r="G408" s="53">
        <f t="shared" si="66"/>
        <v>1</v>
      </c>
      <c r="H408" s="958"/>
      <c r="I408" s="53">
        <f t="shared" si="67"/>
        <v>1</v>
      </c>
      <c r="J408" s="958"/>
      <c r="K408" s="53">
        <f t="shared" si="68"/>
        <v>1</v>
      </c>
      <c r="L408" s="958"/>
      <c r="M408" s="53">
        <f t="shared" si="69"/>
        <v>1</v>
      </c>
      <c r="N408" s="958"/>
      <c r="O408" s="53">
        <f t="shared" si="70"/>
        <v>1</v>
      </c>
      <c r="P408" s="958"/>
      <c r="Q408" s="53">
        <f t="shared" si="71"/>
        <v>1</v>
      </c>
      <c r="R408" s="488">
        <f t="shared" si="72"/>
        <v>0</v>
      </c>
      <c r="S408" s="795">
        <f t="shared" si="73"/>
        <v>0</v>
      </c>
    </row>
    <row r="409" spans="1:19">
      <c r="A409" s="960"/>
      <c r="B409" s="137"/>
      <c r="C409" s="53">
        <f t="shared" si="64"/>
        <v>1</v>
      </c>
      <c r="D409" s="958"/>
      <c r="E409" s="53">
        <f t="shared" si="65"/>
        <v>1</v>
      </c>
      <c r="F409" s="958"/>
      <c r="G409" s="53">
        <f t="shared" si="66"/>
        <v>1</v>
      </c>
      <c r="H409" s="958"/>
      <c r="I409" s="53">
        <f t="shared" si="67"/>
        <v>1</v>
      </c>
      <c r="J409" s="958"/>
      <c r="K409" s="53">
        <f t="shared" si="68"/>
        <v>1</v>
      </c>
      <c r="L409" s="958"/>
      <c r="M409" s="53">
        <f t="shared" si="69"/>
        <v>1</v>
      </c>
      <c r="N409" s="958"/>
      <c r="O409" s="53">
        <f t="shared" si="70"/>
        <v>1</v>
      </c>
      <c r="P409" s="958"/>
      <c r="Q409" s="53">
        <f t="shared" si="71"/>
        <v>1</v>
      </c>
      <c r="R409" s="488">
        <f t="shared" si="72"/>
        <v>0</v>
      </c>
      <c r="S409" s="795">
        <f t="shared" si="73"/>
        <v>0</v>
      </c>
    </row>
    <row r="410" spans="1:19">
      <c r="A410" s="960"/>
      <c r="B410" s="137"/>
      <c r="C410" s="53">
        <f t="shared" ref="C410:C473" si="74">IF(B410="",1,(LOOKUP(B410,$3:$3,$4:$4)-LOOKUP($B$24,$3:$3,$4:$4)+100)/100)</f>
        <v>1</v>
      </c>
      <c r="D410" s="958"/>
      <c r="E410" s="53">
        <f t="shared" ref="E410:E473" si="75">(SUMIF($5:$5,D410,$6:$6)-SUMIF($5:$5,$D$24,$6:$6)+100)/100</f>
        <v>1</v>
      </c>
      <c r="F410" s="958"/>
      <c r="G410" s="53">
        <f t="shared" ref="G410:G473" si="76">(SUMIF($7:$7,F410,$8:$8)-SUMIF($7:$7,$F$24,$8:$8)+100)/100</f>
        <v>1</v>
      </c>
      <c r="H410" s="958"/>
      <c r="I410" s="53">
        <f t="shared" ref="I410:I473" si="77">(SUMIF($9:$9,H410,$10:$10)-SUMIF($9:$9,$H$24,$10:$10)+100)/100</f>
        <v>1</v>
      </c>
      <c r="J410" s="958"/>
      <c r="K410" s="53">
        <f t="shared" ref="K410:K473" si="78">(SUMIF($11:$11,J410,$12:$12)-SUMIF($11:$11,$J$24,$12:$12)+100)/100</f>
        <v>1</v>
      </c>
      <c r="L410" s="958"/>
      <c r="M410" s="53">
        <f t="shared" ref="M410:M473" si="79">(SUMIF($13:$13,L410,$14:$14)-SUMIF($13:$13,$L$24,$14:$14)+100)/100</f>
        <v>1</v>
      </c>
      <c r="N410" s="958"/>
      <c r="O410" s="53">
        <f t="shared" ref="O410:O473" si="80">(SUMIF($15:$15,N410,$16:$16)-SUMIF($15:$15,$N$24,$16:$16)+100)/100</f>
        <v>1</v>
      </c>
      <c r="P410" s="958"/>
      <c r="Q410" s="53">
        <f t="shared" ref="Q410:Q473" si="81">(SUMIF($17:$17,P410,$18:$18)-SUMIF($17:$17,$P$24,$18:$18)+100)/100</f>
        <v>1</v>
      </c>
      <c r="R410" s="488">
        <f t="shared" ref="R410:R473" si="82">IF(B410="",0,ROUND($R$24*C410*E410*G410*I410*K410*M410*O410*Q410,0))</f>
        <v>0</v>
      </c>
      <c r="S410" s="795">
        <f t="shared" si="73"/>
        <v>0</v>
      </c>
    </row>
    <row r="411" spans="1:19">
      <c r="A411" s="960"/>
      <c r="B411" s="137"/>
      <c r="C411" s="53">
        <f t="shared" si="74"/>
        <v>1</v>
      </c>
      <c r="D411" s="958"/>
      <c r="E411" s="53">
        <f t="shared" si="75"/>
        <v>1</v>
      </c>
      <c r="F411" s="958"/>
      <c r="G411" s="53">
        <f t="shared" si="76"/>
        <v>1</v>
      </c>
      <c r="H411" s="958"/>
      <c r="I411" s="53">
        <f t="shared" si="77"/>
        <v>1</v>
      </c>
      <c r="J411" s="958"/>
      <c r="K411" s="53">
        <f t="shared" si="78"/>
        <v>1</v>
      </c>
      <c r="L411" s="958"/>
      <c r="M411" s="53">
        <f t="shared" si="79"/>
        <v>1</v>
      </c>
      <c r="N411" s="958"/>
      <c r="O411" s="53">
        <f t="shared" si="80"/>
        <v>1</v>
      </c>
      <c r="P411" s="958"/>
      <c r="Q411" s="53">
        <f t="shared" si="81"/>
        <v>1</v>
      </c>
      <c r="R411" s="488">
        <f t="shared" si="82"/>
        <v>0</v>
      </c>
      <c r="S411" s="795">
        <f t="shared" si="73"/>
        <v>0</v>
      </c>
    </row>
    <row r="412" spans="1:19">
      <c r="A412" s="960"/>
      <c r="B412" s="137"/>
      <c r="C412" s="53">
        <f t="shared" si="74"/>
        <v>1</v>
      </c>
      <c r="D412" s="958"/>
      <c r="E412" s="53">
        <f t="shared" si="75"/>
        <v>1</v>
      </c>
      <c r="F412" s="958"/>
      <c r="G412" s="53">
        <f t="shared" si="76"/>
        <v>1</v>
      </c>
      <c r="H412" s="958"/>
      <c r="I412" s="53">
        <f t="shared" si="77"/>
        <v>1</v>
      </c>
      <c r="J412" s="958"/>
      <c r="K412" s="53">
        <f t="shared" si="78"/>
        <v>1</v>
      </c>
      <c r="L412" s="958"/>
      <c r="M412" s="53">
        <f t="shared" si="79"/>
        <v>1</v>
      </c>
      <c r="N412" s="958"/>
      <c r="O412" s="53">
        <f t="shared" si="80"/>
        <v>1</v>
      </c>
      <c r="P412" s="958"/>
      <c r="Q412" s="53">
        <f t="shared" si="81"/>
        <v>1</v>
      </c>
      <c r="R412" s="488">
        <f t="shared" si="82"/>
        <v>0</v>
      </c>
      <c r="S412" s="795">
        <f t="shared" si="73"/>
        <v>0</v>
      </c>
    </row>
    <row r="413" spans="1:19">
      <c r="A413" s="960"/>
      <c r="B413" s="137"/>
      <c r="C413" s="53">
        <f t="shared" si="74"/>
        <v>1</v>
      </c>
      <c r="D413" s="958"/>
      <c r="E413" s="53">
        <f t="shared" si="75"/>
        <v>1</v>
      </c>
      <c r="F413" s="958"/>
      <c r="G413" s="53">
        <f t="shared" si="76"/>
        <v>1</v>
      </c>
      <c r="H413" s="958"/>
      <c r="I413" s="53">
        <f t="shared" si="77"/>
        <v>1</v>
      </c>
      <c r="J413" s="958"/>
      <c r="K413" s="53">
        <f t="shared" si="78"/>
        <v>1</v>
      </c>
      <c r="L413" s="958"/>
      <c r="M413" s="53">
        <f t="shared" si="79"/>
        <v>1</v>
      </c>
      <c r="N413" s="958"/>
      <c r="O413" s="53">
        <f t="shared" si="80"/>
        <v>1</v>
      </c>
      <c r="P413" s="958"/>
      <c r="Q413" s="53">
        <f t="shared" si="81"/>
        <v>1</v>
      </c>
      <c r="R413" s="488">
        <f t="shared" si="82"/>
        <v>0</v>
      </c>
      <c r="S413" s="795">
        <f t="shared" si="73"/>
        <v>0</v>
      </c>
    </row>
    <row r="414" spans="1:19">
      <c r="A414" s="960"/>
      <c r="B414" s="137"/>
      <c r="C414" s="53">
        <f t="shared" si="74"/>
        <v>1</v>
      </c>
      <c r="D414" s="958"/>
      <c r="E414" s="53">
        <f t="shared" si="75"/>
        <v>1</v>
      </c>
      <c r="F414" s="958"/>
      <c r="G414" s="53">
        <f t="shared" si="76"/>
        <v>1</v>
      </c>
      <c r="H414" s="958"/>
      <c r="I414" s="53">
        <f t="shared" si="77"/>
        <v>1</v>
      </c>
      <c r="J414" s="958"/>
      <c r="K414" s="53">
        <f t="shared" si="78"/>
        <v>1</v>
      </c>
      <c r="L414" s="958"/>
      <c r="M414" s="53">
        <f t="shared" si="79"/>
        <v>1</v>
      </c>
      <c r="N414" s="958"/>
      <c r="O414" s="53">
        <f t="shared" si="80"/>
        <v>1</v>
      </c>
      <c r="P414" s="958"/>
      <c r="Q414" s="53">
        <f t="shared" si="81"/>
        <v>1</v>
      </c>
      <c r="R414" s="488">
        <f t="shared" si="82"/>
        <v>0</v>
      </c>
      <c r="S414" s="795">
        <f t="shared" si="73"/>
        <v>0</v>
      </c>
    </row>
    <row r="415" spans="1:19">
      <c r="A415" s="960"/>
      <c r="B415" s="137"/>
      <c r="C415" s="53">
        <f t="shared" si="74"/>
        <v>1</v>
      </c>
      <c r="D415" s="958"/>
      <c r="E415" s="53">
        <f t="shared" si="75"/>
        <v>1</v>
      </c>
      <c r="F415" s="958"/>
      <c r="G415" s="53">
        <f t="shared" si="76"/>
        <v>1</v>
      </c>
      <c r="H415" s="958"/>
      <c r="I415" s="53">
        <f t="shared" si="77"/>
        <v>1</v>
      </c>
      <c r="J415" s="958"/>
      <c r="K415" s="53">
        <f t="shared" si="78"/>
        <v>1</v>
      </c>
      <c r="L415" s="958"/>
      <c r="M415" s="53">
        <f t="shared" si="79"/>
        <v>1</v>
      </c>
      <c r="N415" s="958"/>
      <c r="O415" s="53">
        <f t="shared" si="80"/>
        <v>1</v>
      </c>
      <c r="P415" s="958"/>
      <c r="Q415" s="53">
        <f t="shared" si="81"/>
        <v>1</v>
      </c>
      <c r="R415" s="488">
        <f t="shared" si="82"/>
        <v>0</v>
      </c>
      <c r="S415" s="795">
        <f t="shared" si="73"/>
        <v>0</v>
      </c>
    </row>
    <row r="416" spans="1:19">
      <c r="A416" s="960"/>
      <c r="B416" s="137"/>
      <c r="C416" s="53">
        <f t="shared" si="74"/>
        <v>1</v>
      </c>
      <c r="D416" s="958"/>
      <c r="E416" s="53">
        <f t="shared" si="75"/>
        <v>1</v>
      </c>
      <c r="F416" s="958"/>
      <c r="G416" s="53">
        <f t="shared" si="76"/>
        <v>1</v>
      </c>
      <c r="H416" s="958"/>
      <c r="I416" s="53">
        <f t="shared" si="77"/>
        <v>1</v>
      </c>
      <c r="J416" s="958"/>
      <c r="K416" s="53">
        <f t="shared" si="78"/>
        <v>1</v>
      </c>
      <c r="L416" s="958"/>
      <c r="M416" s="53">
        <f t="shared" si="79"/>
        <v>1</v>
      </c>
      <c r="N416" s="958"/>
      <c r="O416" s="53">
        <f t="shared" si="80"/>
        <v>1</v>
      </c>
      <c r="P416" s="958"/>
      <c r="Q416" s="53">
        <f t="shared" si="81"/>
        <v>1</v>
      </c>
      <c r="R416" s="488">
        <f t="shared" si="82"/>
        <v>0</v>
      </c>
      <c r="S416" s="795">
        <f t="shared" si="73"/>
        <v>0</v>
      </c>
    </row>
    <row r="417" spans="1:19">
      <c r="A417" s="960"/>
      <c r="B417" s="137"/>
      <c r="C417" s="53">
        <f t="shared" si="74"/>
        <v>1</v>
      </c>
      <c r="D417" s="958"/>
      <c r="E417" s="53">
        <f t="shared" si="75"/>
        <v>1</v>
      </c>
      <c r="F417" s="958"/>
      <c r="G417" s="53">
        <f t="shared" si="76"/>
        <v>1</v>
      </c>
      <c r="H417" s="958"/>
      <c r="I417" s="53">
        <f t="shared" si="77"/>
        <v>1</v>
      </c>
      <c r="J417" s="958"/>
      <c r="K417" s="53">
        <f t="shared" si="78"/>
        <v>1</v>
      </c>
      <c r="L417" s="958"/>
      <c r="M417" s="53">
        <f t="shared" si="79"/>
        <v>1</v>
      </c>
      <c r="N417" s="958"/>
      <c r="O417" s="53">
        <f t="shared" si="80"/>
        <v>1</v>
      </c>
      <c r="P417" s="958"/>
      <c r="Q417" s="53">
        <f t="shared" si="81"/>
        <v>1</v>
      </c>
      <c r="R417" s="488">
        <f t="shared" si="82"/>
        <v>0</v>
      </c>
      <c r="S417" s="795">
        <f t="shared" si="73"/>
        <v>0</v>
      </c>
    </row>
    <row r="418" spans="1:19">
      <c r="A418" s="960"/>
      <c r="B418" s="137"/>
      <c r="C418" s="53">
        <f t="shared" si="74"/>
        <v>1</v>
      </c>
      <c r="D418" s="958"/>
      <c r="E418" s="53">
        <f t="shared" si="75"/>
        <v>1</v>
      </c>
      <c r="F418" s="958"/>
      <c r="G418" s="53">
        <f t="shared" si="76"/>
        <v>1</v>
      </c>
      <c r="H418" s="958"/>
      <c r="I418" s="53">
        <f t="shared" si="77"/>
        <v>1</v>
      </c>
      <c r="J418" s="958"/>
      <c r="K418" s="53">
        <f t="shared" si="78"/>
        <v>1</v>
      </c>
      <c r="L418" s="958"/>
      <c r="M418" s="53">
        <f t="shared" si="79"/>
        <v>1</v>
      </c>
      <c r="N418" s="958"/>
      <c r="O418" s="53">
        <f t="shared" si="80"/>
        <v>1</v>
      </c>
      <c r="P418" s="958"/>
      <c r="Q418" s="53">
        <f t="shared" si="81"/>
        <v>1</v>
      </c>
      <c r="R418" s="488">
        <f t="shared" si="82"/>
        <v>0</v>
      </c>
      <c r="S418" s="795">
        <f t="shared" si="73"/>
        <v>0</v>
      </c>
    </row>
    <row r="419" spans="1:19">
      <c r="A419" s="960"/>
      <c r="B419" s="137"/>
      <c r="C419" s="53">
        <f t="shared" si="74"/>
        <v>1</v>
      </c>
      <c r="D419" s="958"/>
      <c r="E419" s="53">
        <f t="shared" si="75"/>
        <v>1</v>
      </c>
      <c r="F419" s="958"/>
      <c r="G419" s="53">
        <f t="shared" si="76"/>
        <v>1</v>
      </c>
      <c r="H419" s="958"/>
      <c r="I419" s="53">
        <f t="shared" si="77"/>
        <v>1</v>
      </c>
      <c r="J419" s="958"/>
      <c r="K419" s="53">
        <f t="shared" si="78"/>
        <v>1</v>
      </c>
      <c r="L419" s="958"/>
      <c r="M419" s="53">
        <f t="shared" si="79"/>
        <v>1</v>
      </c>
      <c r="N419" s="958"/>
      <c r="O419" s="53">
        <f t="shared" si="80"/>
        <v>1</v>
      </c>
      <c r="P419" s="958"/>
      <c r="Q419" s="53">
        <f t="shared" si="81"/>
        <v>1</v>
      </c>
      <c r="R419" s="488">
        <f t="shared" si="82"/>
        <v>0</v>
      </c>
      <c r="S419" s="795">
        <f t="shared" si="73"/>
        <v>0</v>
      </c>
    </row>
    <row r="420" spans="1:19">
      <c r="A420" s="960"/>
      <c r="B420" s="137"/>
      <c r="C420" s="53">
        <f t="shared" si="74"/>
        <v>1</v>
      </c>
      <c r="D420" s="958"/>
      <c r="E420" s="53">
        <f t="shared" si="75"/>
        <v>1</v>
      </c>
      <c r="F420" s="958"/>
      <c r="G420" s="53">
        <f t="shared" si="76"/>
        <v>1</v>
      </c>
      <c r="H420" s="958"/>
      <c r="I420" s="53">
        <f t="shared" si="77"/>
        <v>1</v>
      </c>
      <c r="J420" s="958"/>
      <c r="K420" s="53">
        <f t="shared" si="78"/>
        <v>1</v>
      </c>
      <c r="L420" s="958"/>
      <c r="M420" s="53">
        <f t="shared" si="79"/>
        <v>1</v>
      </c>
      <c r="N420" s="958"/>
      <c r="O420" s="53">
        <f t="shared" si="80"/>
        <v>1</v>
      </c>
      <c r="P420" s="958"/>
      <c r="Q420" s="53">
        <f t="shared" si="81"/>
        <v>1</v>
      </c>
      <c r="R420" s="488">
        <f t="shared" si="82"/>
        <v>0</v>
      </c>
      <c r="S420" s="795">
        <f t="shared" si="73"/>
        <v>0</v>
      </c>
    </row>
    <row r="421" spans="1:19">
      <c r="A421" s="960"/>
      <c r="B421" s="137"/>
      <c r="C421" s="53">
        <f t="shared" si="74"/>
        <v>1</v>
      </c>
      <c r="D421" s="958"/>
      <c r="E421" s="53">
        <f t="shared" si="75"/>
        <v>1</v>
      </c>
      <c r="F421" s="958"/>
      <c r="G421" s="53">
        <f t="shared" si="76"/>
        <v>1</v>
      </c>
      <c r="H421" s="958"/>
      <c r="I421" s="53">
        <f t="shared" si="77"/>
        <v>1</v>
      </c>
      <c r="J421" s="958"/>
      <c r="K421" s="53">
        <f t="shared" si="78"/>
        <v>1</v>
      </c>
      <c r="L421" s="958"/>
      <c r="M421" s="53">
        <f t="shared" si="79"/>
        <v>1</v>
      </c>
      <c r="N421" s="958"/>
      <c r="O421" s="53">
        <f t="shared" si="80"/>
        <v>1</v>
      </c>
      <c r="P421" s="958"/>
      <c r="Q421" s="53">
        <f t="shared" si="81"/>
        <v>1</v>
      </c>
      <c r="R421" s="488">
        <f t="shared" si="82"/>
        <v>0</v>
      </c>
      <c r="S421" s="795">
        <f t="shared" si="73"/>
        <v>0</v>
      </c>
    </row>
    <row r="422" spans="1:19">
      <c r="A422" s="960"/>
      <c r="B422" s="137"/>
      <c r="C422" s="53">
        <f t="shared" si="74"/>
        <v>1</v>
      </c>
      <c r="D422" s="958"/>
      <c r="E422" s="53">
        <f t="shared" si="75"/>
        <v>1</v>
      </c>
      <c r="F422" s="958"/>
      <c r="G422" s="53">
        <f t="shared" si="76"/>
        <v>1</v>
      </c>
      <c r="H422" s="958"/>
      <c r="I422" s="53">
        <f t="shared" si="77"/>
        <v>1</v>
      </c>
      <c r="J422" s="958"/>
      <c r="K422" s="53">
        <f t="shared" si="78"/>
        <v>1</v>
      </c>
      <c r="L422" s="958"/>
      <c r="M422" s="53">
        <f t="shared" si="79"/>
        <v>1</v>
      </c>
      <c r="N422" s="958"/>
      <c r="O422" s="53">
        <f t="shared" si="80"/>
        <v>1</v>
      </c>
      <c r="P422" s="958"/>
      <c r="Q422" s="53">
        <f t="shared" si="81"/>
        <v>1</v>
      </c>
      <c r="R422" s="488">
        <f t="shared" si="82"/>
        <v>0</v>
      </c>
      <c r="S422" s="795">
        <f t="shared" si="73"/>
        <v>0</v>
      </c>
    </row>
    <row r="423" spans="1:19">
      <c r="A423" s="960"/>
      <c r="B423" s="137"/>
      <c r="C423" s="53">
        <f t="shared" si="74"/>
        <v>1</v>
      </c>
      <c r="D423" s="958"/>
      <c r="E423" s="53">
        <f t="shared" si="75"/>
        <v>1</v>
      </c>
      <c r="F423" s="958"/>
      <c r="G423" s="53">
        <f t="shared" si="76"/>
        <v>1</v>
      </c>
      <c r="H423" s="958"/>
      <c r="I423" s="53">
        <f t="shared" si="77"/>
        <v>1</v>
      </c>
      <c r="J423" s="958"/>
      <c r="K423" s="53">
        <f t="shared" si="78"/>
        <v>1</v>
      </c>
      <c r="L423" s="958"/>
      <c r="M423" s="53">
        <f t="shared" si="79"/>
        <v>1</v>
      </c>
      <c r="N423" s="958"/>
      <c r="O423" s="53">
        <f t="shared" si="80"/>
        <v>1</v>
      </c>
      <c r="P423" s="958"/>
      <c r="Q423" s="53">
        <f t="shared" si="81"/>
        <v>1</v>
      </c>
      <c r="R423" s="488">
        <f t="shared" si="82"/>
        <v>0</v>
      </c>
      <c r="S423" s="795">
        <f t="shared" ref="S423:S467" si="83">ROUND(R423*B423/10000,0)</f>
        <v>0</v>
      </c>
    </row>
    <row r="424" spans="1:19">
      <c r="A424" s="960"/>
      <c r="B424" s="137"/>
      <c r="C424" s="53">
        <f t="shared" si="74"/>
        <v>1</v>
      </c>
      <c r="D424" s="958"/>
      <c r="E424" s="53">
        <f t="shared" si="75"/>
        <v>1</v>
      </c>
      <c r="F424" s="958"/>
      <c r="G424" s="53">
        <f t="shared" si="76"/>
        <v>1</v>
      </c>
      <c r="H424" s="958"/>
      <c r="I424" s="53">
        <f t="shared" si="77"/>
        <v>1</v>
      </c>
      <c r="J424" s="958"/>
      <c r="K424" s="53">
        <f t="shared" si="78"/>
        <v>1</v>
      </c>
      <c r="L424" s="958"/>
      <c r="M424" s="53">
        <f t="shared" si="79"/>
        <v>1</v>
      </c>
      <c r="N424" s="958"/>
      <c r="O424" s="53">
        <f t="shared" si="80"/>
        <v>1</v>
      </c>
      <c r="P424" s="958"/>
      <c r="Q424" s="53">
        <f t="shared" si="81"/>
        <v>1</v>
      </c>
      <c r="R424" s="488">
        <f t="shared" si="82"/>
        <v>0</v>
      </c>
      <c r="S424" s="795">
        <f t="shared" si="83"/>
        <v>0</v>
      </c>
    </row>
    <row r="425" spans="1:19">
      <c r="A425" s="960"/>
      <c r="B425" s="137"/>
      <c r="C425" s="53">
        <f t="shared" si="74"/>
        <v>1</v>
      </c>
      <c r="D425" s="958"/>
      <c r="E425" s="53">
        <f t="shared" si="75"/>
        <v>1</v>
      </c>
      <c r="F425" s="958"/>
      <c r="G425" s="53">
        <f t="shared" si="76"/>
        <v>1</v>
      </c>
      <c r="H425" s="958"/>
      <c r="I425" s="53">
        <f t="shared" si="77"/>
        <v>1</v>
      </c>
      <c r="J425" s="958"/>
      <c r="K425" s="53">
        <f t="shared" si="78"/>
        <v>1</v>
      </c>
      <c r="L425" s="958"/>
      <c r="M425" s="53">
        <f t="shared" si="79"/>
        <v>1</v>
      </c>
      <c r="N425" s="958"/>
      <c r="O425" s="53">
        <f t="shared" si="80"/>
        <v>1</v>
      </c>
      <c r="P425" s="958"/>
      <c r="Q425" s="53">
        <f t="shared" si="81"/>
        <v>1</v>
      </c>
      <c r="R425" s="488">
        <f t="shared" si="82"/>
        <v>0</v>
      </c>
      <c r="S425" s="795">
        <f t="shared" si="83"/>
        <v>0</v>
      </c>
    </row>
    <row r="426" spans="1:19">
      <c r="A426" s="960"/>
      <c r="B426" s="137"/>
      <c r="C426" s="53">
        <f t="shared" si="74"/>
        <v>1</v>
      </c>
      <c r="D426" s="958"/>
      <c r="E426" s="53">
        <f t="shared" si="75"/>
        <v>1</v>
      </c>
      <c r="F426" s="958"/>
      <c r="G426" s="53">
        <f t="shared" si="76"/>
        <v>1</v>
      </c>
      <c r="H426" s="958"/>
      <c r="I426" s="53">
        <f t="shared" si="77"/>
        <v>1</v>
      </c>
      <c r="J426" s="958"/>
      <c r="K426" s="53">
        <f t="shared" si="78"/>
        <v>1</v>
      </c>
      <c r="L426" s="958"/>
      <c r="M426" s="53">
        <f t="shared" si="79"/>
        <v>1</v>
      </c>
      <c r="N426" s="958"/>
      <c r="O426" s="53">
        <f t="shared" si="80"/>
        <v>1</v>
      </c>
      <c r="P426" s="958"/>
      <c r="Q426" s="53">
        <f t="shared" si="81"/>
        <v>1</v>
      </c>
      <c r="R426" s="488">
        <f t="shared" si="82"/>
        <v>0</v>
      </c>
      <c r="S426" s="795">
        <f t="shared" si="83"/>
        <v>0</v>
      </c>
    </row>
    <row r="427" spans="1:19">
      <c r="A427" s="960"/>
      <c r="B427" s="137"/>
      <c r="C427" s="53">
        <f t="shared" si="74"/>
        <v>1</v>
      </c>
      <c r="D427" s="958"/>
      <c r="E427" s="53">
        <f t="shared" si="75"/>
        <v>1</v>
      </c>
      <c r="F427" s="958"/>
      <c r="G427" s="53">
        <f t="shared" si="76"/>
        <v>1</v>
      </c>
      <c r="H427" s="958"/>
      <c r="I427" s="53">
        <f t="shared" si="77"/>
        <v>1</v>
      </c>
      <c r="J427" s="958"/>
      <c r="K427" s="53">
        <f t="shared" si="78"/>
        <v>1</v>
      </c>
      <c r="L427" s="958"/>
      <c r="M427" s="53">
        <f t="shared" si="79"/>
        <v>1</v>
      </c>
      <c r="N427" s="958"/>
      <c r="O427" s="53">
        <f t="shared" si="80"/>
        <v>1</v>
      </c>
      <c r="P427" s="958"/>
      <c r="Q427" s="53">
        <f t="shared" si="81"/>
        <v>1</v>
      </c>
      <c r="R427" s="488">
        <f t="shared" si="82"/>
        <v>0</v>
      </c>
      <c r="S427" s="795">
        <f t="shared" si="83"/>
        <v>0</v>
      </c>
    </row>
    <row r="428" spans="1:19">
      <c r="A428" s="960"/>
      <c r="B428" s="137"/>
      <c r="C428" s="53">
        <f t="shared" si="74"/>
        <v>1</v>
      </c>
      <c r="D428" s="958"/>
      <c r="E428" s="53">
        <f t="shared" si="75"/>
        <v>1</v>
      </c>
      <c r="F428" s="958"/>
      <c r="G428" s="53">
        <f t="shared" si="76"/>
        <v>1</v>
      </c>
      <c r="H428" s="958"/>
      <c r="I428" s="53">
        <f t="shared" si="77"/>
        <v>1</v>
      </c>
      <c r="J428" s="958"/>
      <c r="K428" s="53">
        <f t="shared" si="78"/>
        <v>1</v>
      </c>
      <c r="L428" s="958"/>
      <c r="M428" s="53">
        <f t="shared" si="79"/>
        <v>1</v>
      </c>
      <c r="N428" s="958"/>
      <c r="O428" s="53">
        <f t="shared" si="80"/>
        <v>1</v>
      </c>
      <c r="P428" s="958"/>
      <c r="Q428" s="53">
        <f t="shared" si="81"/>
        <v>1</v>
      </c>
      <c r="R428" s="488">
        <f t="shared" si="82"/>
        <v>0</v>
      </c>
      <c r="S428" s="795">
        <f t="shared" si="83"/>
        <v>0</v>
      </c>
    </row>
    <row r="429" spans="1:19">
      <c r="A429" s="960"/>
      <c r="B429" s="137"/>
      <c r="C429" s="53">
        <f t="shared" si="74"/>
        <v>1</v>
      </c>
      <c r="D429" s="958"/>
      <c r="E429" s="53">
        <f t="shared" si="75"/>
        <v>1</v>
      </c>
      <c r="F429" s="958"/>
      <c r="G429" s="53">
        <f t="shared" si="76"/>
        <v>1</v>
      </c>
      <c r="H429" s="958"/>
      <c r="I429" s="53">
        <f t="shared" si="77"/>
        <v>1</v>
      </c>
      <c r="J429" s="958"/>
      <c r="K429" s="53">
        <f t="shared" si="78"/>
        <v>1</v>
      </c>
      <c r="L429" s="958"/>
      <c r="M429" s="53">
        <f t="shared" si="79"/>
        <v>1</v>
      </c>
      <c r="N429" s="958"/>
      <c r="O429" s="53">
        <f t="shared" si="80"/>
        <v>1</v>
      </c>
      <c r="P429" s="958"/>
      <c r="Q429" s="53">
        <f t="shared" si="81"/>
        <v>1</v>
      </c>
      <c r="R429" s="488">
        <f t="shared" si="82"/>
        <v>0</v>
      </c>
      <c r="S429" s="795">
        <f t="shared" si="83"/>
        <v>0</v>
      </c>
    </row>
    <row r="430" spans="1:19">
      <c r="A430" s="960"/>
      <c r="B430" s="137"/>
      <c r="C430" s="53">
        <f t="shared" si="74"/>
        <v>1</v>
      </c>
      <c r="D430" s="958"/>
      <c r="E430" s="53">
        <f t="shared" si="75"/>
        <v>1</v>
      </c>
      <c r="F430" s="958"/>
      <c r="G430" s="53">
        <f t="shared" si="76"/>
        <v>1</v>
      </c>
      <c r="H430" s="958"/>
      <c r="I430" s="53">
        <f t="shared" si="77"/>
        <v>1</v>
      </c>
      <c r="J430" s="958"/>
      <c r="K430" s="53">
        <f t="shared" si="78"/>
        <v>1</v>
      </c>
      <c r="L430" s="958"/>
      <c r="M430" s="53">
        <f t="shared" si="79"/>
        <v>1</v>
      </c>
      <c r="N430" s="958"/>
      <c r="O430" s="53">
        <f t="shared" si="80"/>
        <v>1</v>
      </c>
      <c r="P430" s="958"/>
      <c r="Q430" s="53">
        <f t="shared" si="81"/>
        <v>1</v>
      </c>
      <c r="R430" s="488">
        <f t="shared" si="82"/>
        <v>0</v>
      </c>
      <c r="S430" s="795">
        <f t="shared" si="83"/>
        <v>0</v>
      </c>
    </row>
    <row r="431" spans="1:19">
      <c r="A431" s="960"/>
      <c r="B431" s="137"/>
      <c r="C431" s="53">
        <f t="shared" si="74"/>
        <v>1</v>
      </c>
      <c r="D431" s="958"/>
      <c r="E431" s="53">
        <f t="shared" si="75"/>
        <v>1</v>
      </c>
      <c r="F431" s="958"/>
      <c r="G431" s="53">
        <f t="shared" si="76"/>
        <v>1</v>
      </c>
      <c r="H431" s="958"/>
      <c r="I431" s="53">
        <f t="shared" si="77"/>
        <v>1</v>
      </c>
      <c r="J431" s="958"/>
      <c r="K431" s="53">
        <f t="shared" si="78"/>
        <v>1</v>
      </c>
      <c r="L431" s="958"/>
      <c r="M431" s="53">
        <f t="shared" si="79"/>
        <v>1</v>
      </c>
      <c r="N431" s="958"/>
      <c r="O431" s="53">
        <f t="shared" si="80"/>
        <v>1</v>
      </c>
      <c r="P431" s="958"/>
      <c r="Q431" s="53">
        <f t="shared" si="81"/>
        <v>1</v>
      </c>
      <c r="R431" s="488">
        <f t="shared" si="82"/>
        <v>0</v>
      </c>
      <c r="S431" s="795">
        <f t="shared" si="83"/>
        <v>0</v>
      </c>
    </row>
    <row r="432" spans="1:19">
      <c r="A432" s="960"/>
      <c r="B432" s="137"/>
      <c r="C432" s="53">
        <f t="shared" si="74"/>
        <v>1</v>
      </c>
      <c r="D432" s="958"/>
      <c r="E432" s="53">
        <f t="shared" si="75"/>
        <v>1</v>
      </c>
      <c r="F432" s="958"/>
      <c r="G432" s="53">
        <f t="shared" si="76"/>
        <v>1</v>
      </c>
      <c r="H432" s="958"/>
      <c r="I432" s="53">
        <f t="shared" si="77"/>
        <v>1</v>
      </c>
      <c r="J432" s="958"/>
      <c r="K432" s="53">
        <f t="shared" si="78"/>
        <v>1</v>
      </c>
      <c r="L432" s="958"/>
      <c r="M432" s="53">
        <f t="shared" si="79"/>
        <v>1</v>
      </c>
      <c r="N432" s="958"/>
      <c r="O432" s="53">
        <f t="shared" si="80"/>
        <v>1</v>
      </c>
      <c r="P432" s="958"/>
      <c r="Q432" s="53">
        <f t="shared" si="81"/>
        <v>1</v>
      </c>
      <c r="R432" s="488">
        <f t="shared" si="82"/>
        <v>0</v>
      </c>
      <c r="S432" s="795">
        <f t="shared" si="83"/>
        <v>0</v>
      </c>
    </row>
    <row r="433" spans="1:19">
      <c r="A433" s="960"/>
      <c r="B433" s="137"/>
      <c r="C433" s="53">
        <f t="shared" si="74"/>
        <v>1</v>
      </c>
      <c r="D433" s="958"/>
      <c r="E433" s="53">
        <f t="shared" si="75"/>
        <v>1</v>
      </c>
      <c r="F433" s="958"/>
      <c r="G433" s="53">
        <f t="shared" si="76"/>
        <v>1</v>
      </c>
      <c r="H433" s="958"/>
      <c r="I433" s="53">
        <f t="shared" si="77"/>
        <v>1</v>
      </c>
      <c r="J433" s="958"/>
      <c r="K433" s="53">
        <f t="shared" si="78"/>
        <v>1</v>
      </c>
      <c r="L433" s="958"/>
      <c r="M433" s="53">
        <f t="shared" si="79"/>
        <v>1</v>
      </c>
      <c r="N433" s="958"/>
      <c r="O433" s="53">
        <f t="shared" si="80"/>
        <v>1</v>
      </c>
      <c r="P433" s="958"/>
      <c r="Q433" s="53">
        <f t="shared" si="81"/>
        <v>1</v>
      </c>
      <c r="R433" s="488">
        <f t="shared" si="82"/>
        <v>0</v>
      </c>
      <c r="S433" s="795">
        <f t="shared" si="83"/>
        <v>0</v>
      </c>
    </row>
    <row r="434" spans="1:19">
      <c r="A434" s="960"/>
      <c r="B434" s="137"/>
      <c r="C434" s="53">
        <f t="shared" si="74"/>
        <v>1</v>
      </c>
      <c r="D434" s="958"/>
      <c r="E434" s="53">
        <f t="shared" si="75"/>
        <v>1</v>
      </c>
      <c r="F434" s="958"/>
      <c r="G434" s="53">
        <f t="shared" si="76"/>
        <v>1</v>
      </c>
      <c r="H434" s="958"/>
      <c r="I434" s="53">
        <f t="shared" si="77"/>
        <v>1</v>
      </c>
      <c r="J434" s="958"/>
      <c r="K434" s="53">
        <f t="shared" si="78"/>
        <v>1</v>
      </c>
      <c r="L434" s="958"/>
      <c r="M434" s="53">
        <f t="shared" si="79"/>
        <v>1</v>
      </c>
      <c r="N434" s="958"/>
      <c r="O434" s="53">
        <f t="shared" si="80"/>
        <v>1</v>
      </c>
      <c r="P434" s="958"/>
      <c r="Q434" s="53">
        <f t="shared" si="81"/>
        <v>1</v>
      </c>
      <c r="R434" s="488">
        <f t="shared" si="82"/>
        <v>0</v>
      </c>
      <c r="S434" s="795">
        <f t="shared" si="83"/>
        <v>0</v>
      </c>
    </row>
    <row r="435" spans="1:19">
      <c r="A435" s="960"/>
      <c r="B435" s="137"/>
      <c r="C435" s="53">
        <f t="shared" si="74"/>
        <v>1</v>
      </c>
      <c r="D435" s="958"/>
      <c r="E435" s="53">
        <f t="shared" si="75"/>
        <v>1</v>
      </c>
      <c r="F435" s="958"/>
      <c r="G435" s="53">
        <f t="shared" si="76"/>
        <v>1</v>
      </c>
      <c r="H435" s="958"/>
      <c r="I435" s="53">
        <f t="shared" si="77"/>
        <v>1</v>
      </c>
      <c r="J435" s="958"/>
      <c r="K435" s="53">
        <f t="shared" si="78"/>
        <v>1</v>
      </c>
      <c r="L435" s="958"/>
      <c r="M435" s="53">
        <f t="shared" si="79"/>
        <v>1</v>
      </c>
      <c r="N435" s="958"/>
      <c r="O435" s="53">
        <f t="shared" si="80"/>
        <v>1</v>
      </c>
      <c r="P435" s="958"/>
      <c r="Q435" s="53">
        <f t="shared" si="81"/>
        <v>1</v>
      </c>
      <c r="R435" s="488">
        <f t="shared" si="82"/>
        <v>0</v>
      </c>
      <c r="S435" s="795">
        <f t="shared" si="83"/>
        <v>0</v>
      </c>
    </row>
    <row r="436" spans="1:19">
      <c r="A436" s="960"/>
      <c r="B436" s="137"/>
      <c r="C436" s="53">
        <f t="shared" si="74"/>
        <v>1</v>
      </c>
      <c r="D436" s="958"/>
      <c r="E436" s="53">
        <f t="shared" si="75"/>
        <v>1</v>
      </c>
      <c r="F436" s="958"/>
      <c r="G436" s="53">
        <f t="shared" si="76"/>
        <v>1</v>
      </c>
      <c r="H436" s="958"/>
      <c r="I436" s="53">
        <f t="shared" si="77"/>
        <v>1</v>
      </c>
      <c r="J436" s="958"/>
      <c r="K436" s="53">
        <f t="shared" si="78"/>
        <v>1</v>
      </c>
      <c r="L436" s="958"/>
      <c r="M436" s="53">
        <f t="shared" si="79"/>
        <v>1</v>
      </c>
      <c r="N436" s="958"/>
      <c r="O436" s="53">
        <f t="shared" si="80"/>
        <v>1</v>
      </c>
      <c r="P436" s="958"/>
      <c r="Q436" s="53">
        <f t="shared" si="81"/>
        <v>1</v>
      </c>
      <c r="R436" s="488">
        <f t="shared" si="82"/>
        <v>0</v>
      </c>
      <c r="S436" s="795">
        <f t="shared" si="83"/>
        <v>0</v>
      </c>
    </row>
    <row r="437" spans="1:19">
      <c r="A437" s="960"/>
      <c r="B437" s="137"/>
      <c r="C437" s="53">
        <f t="shared" si="74"/>
        <v>1</v>
      </c>
      <c r="D437" s="958"/>
      <c r="E437" s="53">
        <f t="shared" si="75"/>
        <v>1</v>
      </c>
      <c r="F437" s="958"/>
      <c r="G437" s="53">
        <f t="shared" si="76"/>
        <v>1</v>
      </c>
      <c r="H437" s="958"/>
      <c r="I437" s="53">
        <f t="shared" si="77"/>
        <v>1</v>
      </c>
      <c r="J437" s="958"/>
      <c r="K437" s="53">
        <f t="shared" si="78"/>
        <v>1</v>
      </c>
      <c r="L437" s="958"/>
      <c r="M437" s="53">
        <f t="shared" si="79"/>
        <v>1</v>
      </c>
      <c r="N437" s="958"/>
      <c r="O437" s="53">
        <f t="shared" si="80"/>
        <v>1</v>
      </c>
      <c r="P437" s="958"/>
      <c r="Q437" s="53">
        <f t="shared" si="81"/>
        <v>1</v>
      </c>
      <c r="R437" s="488">
        <f t="shared" si="82"/>
        <v>0</v>
      </c>
      <c r="S437" s="795">
        <f t="shared" si="83"/>
        <v>0</v>
      </c>
    </row>
    <row r="438" spans="1:19">
      <c r="A438" s="960"/>
      <c r="B438" s="137"/>
      <c r="C438" s="53">
        <f t="shared" si="74"/>
        <v>1</v>
      </c>
      <c r="D438" s="958"/>
      <c r="E438" s="53">
        <f t="shared" si="75"/>
        <v>1</v>
      </c>
      <c r="F438" s="958"/>
      <c r="G438" s="53">
        <f t="shared" si="76"/>
        <v>1</v>
      </c>
      <c r="H438" s="958"/>
      <c r="I438" s="53">
        <f t="shared" si="77"/>
        <v>1</v>
      </c>
      <c r="J438" s="958"/>
      <c r="K438" s="53">
        <f t="shared" si="78"/>
        <v>1</v>
      </c>
      <c r="L438" s="958"/>
      <c r="M438" s="53">
        <f t="shared" si="79"/>
        <v>1</v>
      </c>
      <c r="N438" s="958"/>
      <c r="O438" s="53">
        <f t="shared" si="80"/>
        <v>1</v>
      </c>
      <c r="P438" s="958"/>
      <c r="Q438" s="53">
        <f t="shared" si="81"/>
        <v>1</v>
      </c>
      <c r="R438" s="488">
        <f t="shared" si="82"/>
        <v>0</v>
      </c>
      <c r="S438" s="795">
        <f t="shared" si="83"/>
        <v>0</v>
      </c>
    </row>
    <row r="439" spans="1:19">
      <c r="A439" s="960"/>
      <c r="B439" s="137"/>
      <c r="C439" s="53">
        <f t="shared" si="74"/>
        <v>1</v>
      </c>
      <c r="D439" s="958"/>
      <c r="E439" s="53">
        <f t="shared" si="75"/>
        <v>1</v>
      </c>
      <c r="F439" s="958"/>
      <c r="G439" s="53">
        <f t="shared" si="76"/>
        <v>1</v>
      </c>
      <c r="H439" s="958"/>
      <c r="I439" s="53">
        <f t="shared" si="77"/>
        <v>1</v>
      </c>
      <c r="J439" s="958"/>
      <c r="K439" s="53">
        <f t="shared" si="78"/>
        <v>1</v>
      </c>
      <c r="L439" s="958"/>
      <c r="M439" s="53">
        <f t="shared" si="79"/>
        <v>1</v>
      </c>
      <c r="N439" s="958"/>
      <c r="O439" s="53">
        <f t="shared" si="80"/>
        <v>1</v>
      </c>
      <c r="P439" s="958"/>
      <c r="Q439" s="53">
        <f t="shared" si="81"/>
        <v>1</v>
      </c>
      <c r="R439" s="488">
        <f t="shared" si="82"/>
        <v>0</v>
      </c>
      <c r="S439" s="795">
        <f t="shared" si="83"/>
        <v>0</v>
      </c>
    </row>
    <row r="440" spans="1:19">
      <c r="A440" s="960"/>
      <c r="B440" s="137"/>
      <c r="C440" s="53">
        <f t="shared" si="74"/>
        <v>1</v>
      </c>
      <c r="D440" s="958"/>
      <c r="E440" s="53">
        <f t="shared" si="75"/>
        <v>1</v>
      </c>
      <c r="F440" s="958"/>
      <c r="G440" s="53">
        <f t="shared" si="76"/>
        <v>1</v>
      </c>
      <c r="H440" s="958"/>
      <c r="I440" s="53">
        <f t="shared" si="77"/>
        <v>1</v>
      </c>
      <c r="J440" s="958"/>
      <c r="K440" s="53">
        <f t="shared" si="78"/>
        <v>1</v>
      </c>
      <c r="L440" s="958"/>
      <c r="M440" s="53">
        <f t="shared" si="79"/>
        <v>1</v>
      </c>
      <c r="N440" s="958"/>
      <c r="O440" s="53">
        <f t="shared" si="80"/>
        <v>1</v>
      </c>
      <c r="P440" s="958"/>
      <c r="Q440" s="53">
        <f t="shared" si="81"/>
        <v>1</v>
      </c>
      <c r="R440" s="488">
        <f t="shared" si="82"/>
        <v>0</v>
      </c>
      <c r="S440" s="795">
        <f t="shared" si="83"/>
        <v>0</v>
      </c>
    </row>
    <row r="441" spans="1:19">
      <c r="A441" s="960"/>
      <c r="B441" s="137"/>
      <c r="C441" s="53">
        <f t="shared" si="74"/>
        <v>1</v>
      </c>
      <c r="D441" s="958"/>
      <c r="E441" s="53">
        <f t="shared" si="75"/>
        <v>1</v>
      </c>
      <c r="F441" s="958"/>
      <c r="G441" s="53">
        <f t="shared" si="76"/>
        <v>1</v>
      </c>
      <c r="H441" s="958"/>
      <c r="I441" s="53">
        <f t="shared" si="77"/>
        <v>1</v>
      </c>
      <c r="J441" s="958"/>
      <c r="K441" s="53">
        <f t="shared" si="78"/>
        <v>1</v>
      </c>
      <c r="L441" s="958"/>
      <c r="M441" s="53">
        <f t="shared" si="79"/>
        <v>1</v>
      </c>
      <c r="N441" s="958"/>
      <c r="O441" s="53">
        <f t="shared" si="80"/>
        <v>1</v>
      </c>
      <c r="P441" s="958"/>
      <c r="Q441" s="53">
        <f t="shared" si="81"/>
        <v>1</v>
      </c>
      <c r="R441" s="488">
        <f t="shared" si="82"/>
        <v>0</v>
      </c>
      <c r="S441" s="795">
        <f t="shared" si="83"/>
        <v>0</v>
      </c>
    </row>
    <row r="442" spans="1:19">
      <c r="A442" s="960"/>
      <c r="B442" s="137"/>
      <c r="C442" s="53">
        <f t="shared" si="74"/>
        <v>1</v>
      </c>
      <c r="D442" s="958"/>
      <c r="E442" s="53">
        <f t="shared" si="75"/>
        <v>1</v>
      </c>
      <c r="F442" s="958"/>
      <c r="G442" s="53">
        <f t="shared" si="76"/>
        <v>1</v>
      </c>
      <c r="H442" s="958"/>
      <c r="I442" s="53">
        <f t="shared" si="77"/>
        <v>1</v>
      </c>
      <c r="J442" s="958"/>
      <c r="K442" s="53">
        <f t="shared" si="78"/>
        <v>1</v>
      </c>
      <c r="L442" s="958"/>
      <c r="M442" s="53">
        <f t="shared" si="79"/>
        <v>1</v>
      </c>
      <c r="N442" s="958"/>
      <c r="O442" s="53">
        <f t="shared" si="80"/>
        <v>1</v>
      </c>
      <c r="P442" s="958"/>
      <c r="Q442" s="53">
        <f t="shared" si="81"/>
        <v>1</v>
      </c>
      <c r="R442" s="488">
        <f t="shared" si="82"/>
        <v>0</v>
      </c>
      <c r="S442" s="795">
        <f t="shared" si="83"/>
        <v>0</v>
      </c>
    </row>
    <row r="443" spans="1:19">
      <c r="A443" s="960"/>
      <c r="B443" s="137"/>
      <c r="C443" s="53">
        <f t="shared" si="74"/>
        <v>1</v>
      </c>
      <c r="D443" s="958"/>
      <c r="E443" s="53">
        <f t="shared" si="75"/>
        <v>1</v>
      </c>
      <c r="F443" s="958"/>
      <c r="G443" s="53">
        <f t="shared" si="76"/>
        <v>1</v>
      </c>
      <c r="H443" s="958"/>
      <c r="I443" s="53">
        <f t="shared" si="77"/>
        <v>1</v>
      </c>
      <c r="J443" s="958"/>
      <c r="K443" s="53">
        <f t="shared" si="78"/>
        <v>1</v>
      </c>
      <c r="L443" s="958"/>
      <c r="M443" s="53">
        <f t="shared" si="79"/>
        <v>1</v>
      </c>
      <c r="N443" s="958"/>
      <c r="O443" s="53">
        <f t="shared" si="80"/>
        <v>1</v>
      </c>
      <c r="P443" s="958"/>
      <c r="Q443" s="53">
        <f t="shared" si="81"/>
        <v>1</v>
      </c>
      <c r="R443" s="488">
        <f t="shared" si="82"/>
        <v>0</v>
      </c>
      <c r="S443" s="795">
        <f t="shared" si="83"/>
        <v>0</v>
      </c>
    </row>
    <row r="444" spans="1:19">
      <c r="A444" s="960"/>
      <c r="B444" s="137"/>
      <c r="C444" s="53">
        <f t="shared" si="74"/>
        <v>1</v>
      </c>
      <c r="D444" s="958"/>
      <c r="E444" s="53">
        <f t="shared" si="75"/>
        <v>1</v>
      </c>
      <c r="F444" s="958"/>
      <c r="G444" s="53">
        <f t="shared" si="76"/>
        <v>1</v>
      </c>
      <c r="H444" s="958"/>
      <c r="I444" s="53">
        <f t="shared" si="77"/>
        <v>1</v>
      </c>
      <c r="J444" s="958"/>
      <c r="K444" s="53">
        <f t="shared" si="78"/>
        <v>1</v>
      </c>
      <c r="L444" s="958"/>
      <c r="M444" s="53">
        <f t="shared" si="79"/>
        <v>1</v>
      </c>
      <c r="N444" s="958"/>
      <c r="O444" s="53">
        <f t="shared" si="80"/>
        <v>1</v>
      </c>
      <c r="P444" s="958"/>
      <c r="Q444" s="53">
        <f t="shared" si="81"/>
        <v>1</v>
      </c>
      <c r="R444" s="488">
        <f t="shared" si="82"/>
        <v>0</v>
      </c>
      <c r="S444" s="795">
        <f t="shared" si="83"/>
        <v>0</v>
      </c>
    </row>
    <row r="445" spans="1:19">
      <c r="A445" s="960"/>
      <c r="B445" s="137"/>
      <c r="C445" s="53">
        <f t="shared" si="74"/>
        <v>1</v>
      </c>
      <c r="D445" s="958"/>
      <c r="E445" s="53">
        <f t="shared" si="75"/>
        <v>1</v>
      </c>
      <c r="F445" s="958"/>
      <c r="G445" s="53">
        <f t="shared" si="76"/>
        <v>1</v>
      </c>
      <c r="H445" s="958"/>
      <c r="I445" s="53">
        <f t="shared" si="77"/>
        <v>1</v>
      </c>
      <c r="J445" s="958"/>
      <c r="K445" s="53">
        <f t="shared" si="78"/>
        <v>1</v>
      </c>
      <c r="L445" s="958"/>
      <c r="M445" s="53">
        <f t="shared" si="79"/>
        <v>1</v>
      </c>
      <c r="N445" s="958"/>
      <c r="O445" s="53">
        <f t="shared" si="80"/>
        <v>1</v>
      </c>
      <c r="P445" s="958"/>
      <c r="Q445" s="53">
        <f t="shared" si="81"/>
        <v>1</v>
      </c>
      <c r="R445" s="488">
        <f t="shared" si="82"/>
        <v>0</v>
      </c>
      <c r="S445" s="795">
        <f t="shared" si="83"/>
        <v>0</v>
      </c>
    </row>
    <row r="446" spans="1:19">
      <c r="A446" s="960"/>
      <c r="B446" s="137"/>
      <c r="C446" s="53">
        <f t="shared" si="74"/>
        <v>1</v>
      </c>
      <c r="D446" s="958"/>
      <c r="E446" s="53">
        <f t="shared" si="75"/>
        <v>1</v>
      </c>
      <c r="F446" s="958"/>
      <c r="G446" s="53">
        <f t="shared" si="76"/>
        <v>1</v>
      </c>
      <c r="H446" s="958"/>
      <c r="I446" s="53">
        <f t="shared" si="77"/>
        <v>1</v>
      </c>
      <c r="J446" s="958"/>
      <c r="K446" s="53">
        <f t="shared" si="78"/>
        <v>1</v>
      </c>
      <c r="L446" s="958"/>
      <c r="M446" s="53">
        <f t="shared" si="79"/>
        <v>1</v>
      </c>
      <c r="N446" s="958"/>
      <c r="O446" s="53">
        <f t="shared" si="80"/>
        <v>1</v>
      </c>
      <c r="P446" s="958"/>
      <c r="Q446" s="53">
        <f t="shared" si="81"/>
        <v>1</v>
      </c>
      <c r="R446" s="488">
        <f t="shared" si="82"/>
        <v>0</v>
      </c>
      <c r="S446" s="795">
        <f t="shared" si="83"/>
        <v>0</v>
      </c>
    </row>
    <row r="447" spans="1:19">
      <c r="A447" s="960"/>
      <c r="B447" s="137"/>
      <c r="C447" s="53">
        <f t="shared" si="74"/>
        <v>1</v>
      </c>
      <c r="D447" s="958"/>
      <c r="E447" s="53">
        <f t="shared" si="75"/>
        <v>1</v>
      </c>
      <c r="F447" s="958"/>
      <c r="G447" s="53">
        <f t="shared" si="76"/>
        <v>1</v>
      </c>
      <c r="H447" s="958"/>
      <c r="I447" s="53">
        <f t="shared" si="77"/>
        <v>1</v>
      </c>
      <c r="J447" s="958"/>
      <c r="K447" s="53">
        <f t="shared" si="78"/>
        <v>1</v>
      </c>
      <c r="L447" s="958"/>
      <c r="M447" s="53">
        <f t="shared" si="79"/>
        <v>1</v>
      </c>
      <c r="N447" s="958"/>
      <c r="O447" s="53">
        <f t="shared" si="80"/>
        <v>1</v>
      </c>
      <c r="P447" s="958"/>
      <c r="Q447" s="53">
        <f t="shared" si="81"/>
        <v>1</v>
      </c>
      <c r="R447" s="488">
        <f t="shared" si="82"/>
        <v>0</v>
      </c>
      <c r="S447" s="795">
        <f t="shared" si="83"/>
        <v>0</v>
      </c>
    </row>
    <row r="448" spans="1:19">
      <c r="A448" s="960"/>
      <c r="B448" s="137"/>
      <c r="C448" s="53">
        <f t="shared" si="74"/>
        <v>1</v>
      </c>
      <c r="D448" s="958"/>
      <c r="E448" s="53">
        <f t="shared" si="75"/>
        <v>1</v>
      </c>
      <c r="F448" s="958"/>
      <c r="G448" s="53">
        <f t="shared" si="76"/>
        <v>1</v>
      </c>
      <c r="H448" s="958"/>
      <c r="I448" s="53">
        <f t="shared" si="77"/>
        <v>1</v>
      </c>
      <c r="J448" s="958"/>
      <c r="K448" s="53">
        <f t="shared" si="78"/>
        <v>1</v>
      </c>
      <c r="L448" s="958"/>
      <c r="M448" s="53">
        <f t="shared" si="79"/>
        <v>1</v>
      </c>
      <c r="N448" s="958"/>
      <c r="O448" s="53">
        <f t="shared" si="80"/>
        <v>1</v>
      </c>
      <c r="P448" s="958"/>
      <c r="Q448" s="53">
        <f t="shared" si="81"/>
        <v>1</v>
      </c>
      <c r="R448" s="488">
        <f t="shared" si="82"/>
        <v>0</v>
      </c>
      <c r="S448" s="795">
        <f t="shared" si="83"/>
        <v>0</v>
      </c>
    </row>
    <row r="449" spans="1:19">
      <c r="A449" s="960"/>
      <c r="B449" s="137"/>
      <c r="C449" s="53">
        <f t="shared" si="74"/>
        <v>1</v>
      </c>
      <c r="D449" s="958"/>
      <c r="E449" s="53">
        <f t="shared" si="75"/>
        <v>1</v>
      </c>
      <c r="F449" s="958"/>
      <c r="G449" s="53">
        <f t="shared" si="76"/>
        <v>1</v>
      </c>
      <c r="H449" s="958"/>
      <c r="I449" s="53">
        <f t="shared" si="77"/>
        <v>1</v>
      </c>
      <c r="J449" s="958"/>
      <c r="K449" s="53">
        <f t="shared" si="78"/>
        <v>1</v>
      </c>
      <c r="L449" s="958"/>
      <c r="M449" s="53">
        <f t="shared" si="79"/>
        <v>1</v>
      </c>
      <c r="N449" s="958"/>
      <c r="O449" s="53">
        <f t="shared" si="80"/>
        <v>1</v>
      </c>
      <c r="P449" s="958"/>
      <c r="Q449" s="53">
        <f t="shared" si="81"/>
        <v>1</v>
      </c>
      <c r="R449" s="488">
        <f t="shared" si="82"/>
        <v>0</v>
      </c>
      <c r="S449" s="795">
        <f t="shared" si="83"/>
        <v>0</v>
      </c>
    </row>
    <row r="450" spans="1:19">
      <c r="A450" s="960"/>
      <c r="B450" s="137"/>
      <c r="C450" s="53">
        <f t="shared" si="74"/>
        <v>1</v>
      </c>
      <c r="D450" s="958"/>
      <c r="E450" s="53">
        <f t="shared" si="75"/>
        <v>1</v>
      </c>
      <c r="F450" s="958"/>
      <c r="G450" s="53">
        <f t="shared" si="76"/>
        <v>1</v>
      </c>
      <c r="H450" s="958"/>
      <c r="I450" s="53">
        <f t="shared" si="77"/>
        <v>1</v>
      </c>
      <c r="J450" s="958"/>
      <c r="K450" s="53">
        <f t="shared" si="78"/>
        <v>1</v>
      </c>
      <c r="L450" s="958"/>
      <c r="M450" s="53">
        <f t="shared" si="79"/>
        <v>1</v>
      </c>
      <c r="N450" s="958"/>
      <c r="O450" s="53">
        <f t="shared" si="80"/>
        <v>1</v>
      </c>
      <c r="P450" s="958"/>
      <c r="Q450" s="53">
        <f t="shared" si="81"/>
        <v>1</v>
      </c>
      <c r="R450" s="488">
        <f t="shared" si="82"/>
        <v>0</v>
      </c>
      <c r="S450" s="795">
        <f t="shared" si="83"/>
        <v>0</v>
      </c>
    </row>
    <row r="451" spans="1:19">
      <c r="A451" s="960"/>
      <c r="B451" s="137"/>
      <c r="C451" s="53">
        <f t="shared" si="74"/>
        <v>1</v>
      </c>
      <c r="D451" s="958"/>
      <c r="E451" s="53">
        <f t="shared" si="75"/>
        <v>1</v>
      </c>
      <c r="F451" s="958"/>
      <c r="G451" s="53">
        <f t="shared" si="76"/>
        <v>1</v>
      </c>
      <c r="H451" s="958"/>
      <c r="I451" s="53">
        <f t="shared" si="77"/>
        <v>1</v>
      </c>
      <c r="J451" s="958"/>
      <c r="K451" s="53">
        <f t="shared" si="78"/>
        <v>1</v>
      </c>
      <c r="L451" s="958"/>
      <c r="M451" s="53">
        <f t="shared" si="79"/>
        <v>1</v>
      </c>
      <c r="N451" s="958"/>
      <c r="O451" s="53">
        <f t="shared" si="80"/>
        <v>1</v>
      </c>
      <c r="P451" s="958"/>
      <c r="Q451" s="53">
        <f t="shared" si="81"/>
        <v>1</v>
      </c>
      <c r="R451" s="488">
        <f t="shared" si="82"/>
        <v>0</v>
      </c>
      <c r="S451" s="795">
        <f t="shared" si="83"/>
        <v>0</v>
      </c>
    </row>
    <row r="452" spans="1:19">
      <c r="A452" s="960"/>
      <c r="B452" s="137"/>
      <c r="C452" s="53">
        <f t="shared" si="74"/>
        <v>1</v>
      </c>
      <c r="D452" s="958"/>
      <c r="E452" s="53">
        <f t="shared" si="75"/>
        <v>1</v>
      </c>
      <c r="F452" s="958"/>
      <c r="G452" s="53">
        <f t="shared" si="76"/>
        <v>1</v>
      </c>
      <c r="H452" s="958"/>
      <c r="I452" s="53">
        <f t="shared" si="77"/>
        <v>1</v>
      </c>
      <c r="J452" s="958"/>
      <c r="K452" s="53">
        <f t="shared" si="78"/>
        <v>1</v>
      </c>
      <c r="L452" s="958"/>
      <c r="M452" s="53">
        <f t="shared" si="79"/>
        <v>1</v>
      </c>
      <c r="N452" s="958"/>
      <c r="O452" s="53">
        <f t="shared" si="80"/>
        <v>1</v>
      </c>
      <c r="P452" s="958"/>
      <c r="Q452" s="53">
        <f t="shared" si="81"/>
        <v>1</v>
      </c>
      <c r="R452" s="488">
        <f t="shared" si="82"/>
        <v>0</v>
      </c>
      <c r="S452" s="795">
        <f t="shared" si="83"/>
        <v>0</v>
      </c>
    </row>
    <row r="453" spans="1:19">
      <c r="A453" s="960"/>
      <c r="B453" s="137"/>
      <c r="C453" s="53">
        <f t="shared" si="74"/>
        <v>1</v>
      </c>
      <c r="D453" s="958"/>
      <c r="E453" s="53">
        <f t="shared" si="75"/>
        <v>1</v>
      </c>
      <c r="F453" s="958"/>
      <c r="G453" s="53">
        <f t="shared" si="76"/>
        <v>1</v>
      </c>
      <c r="H453" s="958"/>
      <c r="I453" s="53">
        <f t="shared" si="77"/>
        <v>1</v>
      </c>
      <c r="J453" s="958"/>
      <c r="K453" s="53">
        <f t="shared" si="78"/>
        <v>1</v>
      </c>
      <c r="L453" s="958"/>
      <c r="M453" s="53">
        <f t="shared" si="79"/>
        <v>1</v>
      </c>
      <c r="N453" s="958"/>
      <c r="O453" s="53">
        <f t="shared" si="80"/>
        <v>1</v>
      </c>
      <c r="P453" s="958"/>
      <c r="Q453" s="53">
        <f t="shared" si="81"/>
        <v>1</v>
      </c>
      <c r="R453" s="488">
        <f t="shared" si="82"/>
        <v>0</v>
      </c>
      <c r="S453" s="795">
        <f t="shared" si="83"/>
        <v>0</v>
      </c>
    </row>
    <row r="454" spans="1:19">
      <c r="A454" s="960"/>
      <c r="B454" s="137"/>
      <c r="C454" s="53">
        <f t="shared" si="74"/>
        <v>1</v>
      </c>
      <c r="D454" s="958"/>
      <c r="E454" s="53">
        <f t="shared" si="75"/>
        <v>1</v>
      </c>
      <c r="F454" s="958"/>
      <c r="G454" s="53">
        <f t="shared" si="76"/>
        <v>1</v>
      </c>
      <c r="H454" s="958"/>
      <c r="I454" s="53">
        <f t="shared" si="77"/>
        <v>1</v>
      </c>
      <c r="J454" s="958"/>
      <c r="K454" s="53">
        <f t="shared" si="78"/>
        <v>1</v>
      </c>
      <c r="L454" s="958"/>
      <c r="M454" s="53">
        <f t="shared" si="79"/>
        <v>1</v>
      </c>
      <c r="N454" s="958"/>
      <c r="O454" s="53">
        <f t="shared" si="80"/>
        <v>1</v>
      </c>
      <c r="P454" s="958"/>
      <c r="Q454" s="53">
        <f t="shared" si="81"/>
        <v>1</v>
      </c>
      <c r="R454" s="488">
        <f t="shared" si="82"/>
        <v>0</v>
      </c>
      <c r="S454" s="795">
        <f t="shared" si="83"/>
        <v>0</v>
      </c>
    </row>
    <row r="455" spans="1:19">
      <c r="A455" s="960"/>
      <c r="B455" s="137"/>
      <c r="C455" s="53">
        <f t="shared" si="74"/>
        <v>1</v>
      </c>
      <c r="D455" s="958"/>
      <c r="E455" s="53">
        <f t="shared" si="75"/>
        <v>1</v>
      </c>
      <c r="F455" s="958"/>
      <c r="G455" s="53">
        <f t="shared" si="76"/>
        <v>1</v>
      </c>
      <c r="H455" s="958"/>
      <c r="I455" s="53">
        <f t="shared" si="77"/>
        <v>1</v>
      </c>
      <c r="J455" s="958"/>
      <c r="K455" s="53">
        <f t="shared" si="78"/>
        <v>1</v>
      </c>
      <c r="L455" s="958"/>
      <c r="M455" s="53">
        <f t="shared" si="79"/>
        <v>1</v>
      </c>
      <c r="N455" s="958"/>
      <c r="O455" s="53">
        <f t="shared" si="80"/>
        <v>1</v>
      </c>
      <c r="P455" s="958"/>
      <c r="Q455" s="53">
        <f t="shared" si="81"/>
        <v>1</v>
      </c>
      <c r="R455" s="488">
        <f t="shared" si="82"/>
        <v>0</v>
      </c>
      <c r="S455" s="795">
        <f t="shared" si="83"/>
        <v>0</v>
      </c>
    </row>
    <row r="456" spans="1:19">
      <c r="A456" s="960"/>
      <c r="B456" s="137"/>
      <c r="C456" s="53">
        <f t="shared" si="74"/>
        <v>1</v>
      </c>
      <c r="D456" s="958"/>
      <c r="E456" s="53">
        <f t="shared" si="75"/>
        <v>1</v>
      </c>
      <c r="F456" s="958"/>
      <c r="G456" s="53">
        <f t="shared" si="76"/>
        <v>1</v>
      </c>
      <c r="H456" s="958"/>
      <c r="I456" s="53">
        <f t="shared" si="77"/>
        <v>1</v>
      </c>
      <c r="J456" s="958"/>
      <c r="K456" s="53">
        <f t="shared" si="78"/>
        <v>1</v>
      </c>
      <c r="L456" s="958"/>
      <c r="M456" s="53">
        <f t="shared" si="79"/>
        <v>1</v>
      </c>
      <c r="N456" s="958"/>
      <c r="O456" s="53">
        <f t="shared" si="80"/>
        <v>1</v>
      </c>
      <c r="P456" s="958"/>
      <c r="Q456" s="53">
        <f t="shared" si="81"/>
        <v>1</v>
      </c>
      <c r="R456" s="488">
        <f t="shared" si="82"/>
        <v>0</v>
      </c>
      <c r="S456" s="795">
        <f t="shared" si="83"/>
        <v>0</v>
      </c>
    </row>
    <row r="457" spans="1:19">
      <c r="A457" s="960"/>
      <c r="B457" s="137"/>
      <c r="C457" s="53">
        <f t="shared" si="74"/>
        <v>1</v>
      </c>
      <c r="D457" s="958"/>
      <c r="E457" s="53">
        <f t="shared" si="75"/>
        <v>1</v>
      </c>
      <c r="F457" s="958"/>
      <c r="G457" s="53">
        <f t="shared" si="76"/>
        <v>1</v>
      </c>
      <c r="H457" s="958"/>
      <c r="I457" s="53">
        <f t="shared" si="77"/>
        <v>1</v>
      </c>
      <c r="J457" s="958"/>
      <c r="K457" s="53">
        <f t="shared" si="78"/>
        <v>1</v>
      </c>
      <c r="L457" s="958"/>
      <c r="M457" s="53">
        <f t="shared" si="79"/>
        <v>1</v>
      </c>
      <c r="N457" s="958"/>
      <c r="O457" s="53">
        <f t="shared" si="80"/>
        <v>1</v>
      </c>
      <c r="P457" s="958"/>
      <c r="Q457" s="53">
        <f t="shared" si="81"/>
        <v>1</v>
      </c>
      <c r="R457" s="488">
        <f t="shared" si="82"/>
        <v>0</v>
      </c>
      <c r="S457" s="795">
        <f t="shared" si="83"/>
        <v>0</v>
      </c>
    </row>
    <row r="458" spans="1:19">
      <c r="A458" s="960"/>
      <c r="B458" s="137"/>
      <c r="C458" s="53">
        <f t="shared" si="74"/>
        <v>1</v>
      </c>
      <c r="D458" s="958"/>
      <c r="E458" s="53">
        <f t="shared" si="75"/>
        <v>1</v>
      </c>
      <c r="F458" s="958"/>
      <c r="G458" s="53">
        <f t="shared" si="76"/>
        <v>1</v>
      </c>
      <c r="H458" s="958"/>
      <c r="I458" s="53">
        <f t="shared" si="77"/>
        <v>1</v>
      </c>
      <c r="J458" s="958"/>
      <c r="K458" s="53">
        <f t="shared" si="78"/>
        <v>1</v>
      </c>
      <c r="L458" s="958"/>
      <c r="M458" s="53">
        <f t="shared" si="79"/>
        <v>1</v>
      </c>
      <c r="N458" s="958"/>
      <c r="O458" s="53">
        <f t="shared" si="80"/>
        <v>1</v>
      </c>
      <c r="P458" s="958"/>
      <c r="Q458" s="53">
        <f t="shared" si="81"/>
        <v>1</v>
      </c>
      <c r="R458" s="488">
        <f t="shared" si="82"/>
        <v>0</v>
      </c>
      <c r="S458" s="795">
        <f t="shared" si="83"/>
        <v>0</v>
      </c>
    </row>
    <row r="459" spans="1:19">
      <c r="A459" s="960"/>
      <c r="B459" s="137"/>
      <c r="C459" s="53">
        <f t="shared" si="74"/>
        <v>1</v>
      </c>
      <c r="D459" s="958"/>
      <c r="E459" s="53">
        <f t="shared" si="75"/>
        <v>1</v>
      </c>
      <c r="F459" s="958"/>
      <c r="G459" s="53">
        <f t="shared" si="76"/>
        <v>1</v>
      </c>
      <c r="H459" s="958"/>
      <c r="I459" s="53">
        <f t="shared" si="77"/>
        <v>1</v>
      </c>
      <c r="J459" s="958"/>
      <c r="K459" s="53">
        <f t="shared" si="78"/>
        <v>1</v>
      </c>
      <c r="L459" s="958"/>
      <c r="M459" s="53">
        <f t="shared" si="79"/>
        <v>1</v>
      </c>
      <c r="N459" s="958"/>
      <c r="O459" s="53">
        <f t="shared" si="80"/>
        <v>1</v>
      </c>
      <c r="P459" s="958"/>
      <c r="Q459" s="53">
        <f t="shared" si="81"/>
        <v>1</v>
      </c>
      <c r="R459" s="488">
        <f t="shared" si="82"/>
        <v>0</v>
      </c>
      <c r="S459" s="795">
        <f t="shared" si="83"/>
        <v>0</v>
      </c>
    </row>
    <row r="460" spans="1:19">
      <c r="A460" s="960"/>
      <c r="B460" s="137"/>
      <c r="C460" s="53">
        <f t="shared" si="74"/>
        <v>1</v>
      </c>
      <c r="D460" s="958"/>
      <c r="E460" s="53">
        <f t="shared" si="75"/>
        <v>1</v>
      </c>
      <c r="F460" s="958"/>
      <c r="G460" s="53">
        <f t="shared" si="76"/>
        <v>1</v>
      </c>
      <c r="H460" s="958"/>
      <c r="I460" s="53">
        <f t="shared" si="77"/>
        <v>1</v>
      </c>
      <c r="J460" s="958"/>
      <c r="K460" s="53">
        <f t="shared" si="78"/>
        <v>1</v>
      </c>
      <c r="L460" s="958"/>
      <c r="M460" s="53">
        <f t="shared" si="79"/>
        <v>1</v>
      </c>
      <c r="N460" s="958"/>
      <c r="O460" s="53">
        <f t="shared" si="80"/>
        <v>1</v>
      </c>
      <c r="P460" s="958"/>
      <c r="Q460" s="53">
        <f t="shared" si="81"/>
        <v>1</v>
      </c>
      <c r="R460" s="488">
        <f t="shared" si="82"/>
        <v>0</v>
      </c>
      <c r="S460" s="795">
        <f t="shared" si="83"/>
        <v>0</v>
      </c>
    </row>
    <row r="461" spans="1:19">
      <c r="A461" s="960"/>
      <c r="B461" s="137"/>
      <c r="C461" s="53">
        <f t="shared" si="74"/>
        <v>1</v>
      </c>
      <c r="D461" s="958"/>
      <c r="E461" s="53">
        <f t="shared" si="75"/>
        <v>1</v>
      </c>
      <c r="F461" s="958"/>
      <c r="G461" s="53">
        <f t="shared" si="76"/>
        <v>1</v>
      </c>
      <c r="H461" s="958"/>
      <c r="I461" s="53">
        <f t="shared" si="77"/>
        <v>1</v>
      </c>
      <c r="J461" s="958"/>
      <c r="K461" s="53">
        <f t="shared" si="78"/>
        <v>1</v>
      </c>
      <c r="L461" s="958"/>
      <c r="M461" s="53">
        <f t="shared" si="79"/>
        <v>1</v>
      </c>
      <c r="N461" s="958"/>
      <c r="O461" s="53">
        <f t="shared" si="80"/>
        <v>1</v>
      </c>
      <c r="P461" s="958"/>
      <c r="Q461" s="53">
        <f t="shared" si="81"/>
        <v>1</v>
      </c>
      <c r="R461" s="488">
        <f t="shared" si="82"/>
        <v>0</v>
      </c>
      <c r="S461" s="795">
        <f t="shared" si="83"/>
        <v>0</v>
      </c>
    </row>
    <row r="462" spans="1:19">
      <c r="A462" s="960"/>
      <c r="B462" s="137"/>
      <c r="C462" s="53">
        <f t="shared" si="74"/>
        <v>1</v>
      </c>
      <c r="D462" s="958"/>
      <c r="E462" s="53">
        <f t="shared" si="75"/>
        <v>1</v>
      </c>
      <c r="F462" s="958"/>
      <c r="G462" s="53">
        <f t="shared" si="76"/>
        <v>1</v>
      </c>
      <c r="H462" s="958"/>
      <c r="I462" s="53">
        <f t="shared" si="77"/>
        <v>1</v>
      </c>
      <c r="J462" s="958"/>
      <c r="K462" s="53">
        <f t="shared" si="78"/>
        <v>1</v>
      </c>
      <c r="L462" s="958"/>
      <c r="M462" s="53">
        <f t="shared" si="79"/>
        <v>1</v>
      </c>
      <c r="N462" s="958"/>
      <c r="O462" s="53">
        <f t="shared" si="80"/>
        <v>1</v>
      </c>
      <c r="P462" s="958"/>
      <c r="Q462" s="53">
        <f t="shared" si="81"/>
        <v>1</v>
      </c>
      <c r="R462" s="488">
        <f t="shared" si="82"/>
        <v>0</v>
      </c>
      <c r="S462" s="795">
        <f t="shared" si="83"/>
        <v>0</v>
      </c>
    </row>
    <row r="463" spans="1:19">
      <c r="A463" s="960"/>
      <c r="B463" s="137"/>
      <c r="C463" s="53">
        <f t="shared" si="74"/>
        <v>1</v>
      </c>
      <c r="D463" s="958"/>
      <c r="E463" s="53">
        <f t="shared" si="75"/>
        <v>1</v>
      </c>
      <c r="F463" s="958"/>
      <c r="G463" s="53">
        <f t="shared" si="76"/>
        <v>1</v>
      </c>
      <c r="H463" s="958"/>
      <c r="I463" s="53">
        <f t="shared" si="77"/>
        <v>1</v>
      </c>
      <c r="J463" s="958"/>
      <c r="K463" s="53">
        <f t="shared" si="78"/>
        <v>1</v>
      </c>
      <c r="L463" s="958"/>
      <c r="M463" s="53">
        <f t="shared" si="79"/>
        <v>1</v>
      </c>
      <c r="N463" s="958"/>
      <c r="O463" s="53">
        <f t="shared" si="80"/>
        <v>1</v>
      </c>
      <c r="P463" s="958"/>
      <c r="Q463" s="53">
        <f t="shared" si="81"/>
        <v>1</v>
      </c>
      <c r="R463" s="488">
        <f t="shared" si="82"/>
        <v>0</v>
      </c>
      <c r="S463" s="795">
        <f t="shared" si="83"/>
        <v>0</v>
      </c>
    </row>
    <row r="464" spans="1:19">
      <c r="A464" s="960"/>
      <c r="B464" s="137"/>
      <c r="C464" s="53">
        <f t="shared" si="74"/>
        <v>1</v>
      </c>
      <c r="D464" s="958"/>
      <c r="E464" s="53">
        <f t="shared" si="75"/>
        <v>1</v>
      </c>
      <c r="F464" s="958"/>
      <c r="G464" s="53">
        <f t="shared" si="76"/>
        <v>1</v>
      </c>
      <c r="H464" s="958"/>
      <c r="I464" s="53">
        <f t="shared" si="77"/>
        <v>1</v>
      </c>
      <c r="J464" s="958"/>
      <c r="K464" s="53">
        <f t="shared" si="78"/>
        <v>1</v>
      </c>
      <c r="L464" s="958"/>
      <c r="M464" s="53">
        <f t="shared" si="79"/>
        <v>1</v>
      </c>
      <c r="N464" s="958"/>
      <c r="O464" s="53">
        <f t="shared" si="80"/>
        <v>1</v>
      </c>
      <c r="P464" s="958"/>
      <c r="Q464" s="53">
        <f t="shared" si="81"/>
        <v>1</v>
      </c>
      <c r="R464" s="488">
        <f t="shared" si="82"/>
        <v>0</v>
      </c>
      <c r="S464" s="795">
        <f t="shared" si="83"/>
        <v>0</v>
      </c>
    </row>
    <row r="465" spans="1:19">
      <c r="A465" s="960"/>
      <c r="B465" s="137"/>
      <c r="C465" s="53">
        <f t="shared" si="74"/>
        <v>1</v>
      </c>
      <c r="D465" s="958"/>
      <c r="E465" s="53">
        <f t="shared" si="75"/>
        <v>1</v>
      </c>
      <c r="F465" s="958"/>
      <c r="G465" s="53">
        <f t="shared" si="76"/>
        <v>1</v>
      </c>
      <c r="H465" s="958"/>
      <c r="I465" s="53">
        <f t="shared" si="77"/>
        <v>1</v>
      </c>
      <c r="J465" s="958"/>
      <c r="K465" s="53">
        <f t="shared" si="78"/>
        <v>1</v>
      </c>
      <c r="L465" s="958"/>
      <c r="M465" s="53">
        <f t="shared" si="79"/>
        <v>1</v>
      </c>
      <c r="N465" s="958"/>
      <c r="O465" s="53">
        <f t="shared" si="80"/>
        <v>1</v>
      </c>
      <c r="P465" s="958"/>
      <c r="Q465" s="53">
        <f t="shared" si="81"/>
        <v>1</v>
      </c>
      <c r="R465" s="488">
        <f t="shared" si="82"/>
        <v>0</v>
      </c>
      <c r="S465" s="795">
        <f t="shared" si="83"/>
        <v>0</v>
      </c>
    </row>
    <row r="466" spans="1:19">
      <c r="A466" s="960"/>
      <c r="B466" s="137"/>
      <c r="C466" s="53">
        <f t="shared" si="74"/>
        <v>1</v>
      </c>
      <c r="D466" s="958"/>
      <c r="E466" s="53">
        <f t="shared" si="75"/>
        <v>1</v>
      </c>
      <c r="F466" s="958"/>
      <c r="G466" s="53">
        <f t="shared" si="76"/>
        <v>1</v>
      </c>
      <c r="H466" s="958"/>
      <c r="I466" s="53">
        <f t="shared" si="77"/>
        <v>1</v>
      </c>
      <c r="J466" s="958"/>
      <c r="K466" s="53">
        <f t="shared" si="78"/>
        <v>1</v>
      </c>
      <c r="L466" s="958"/>
      <c r="M466" s="53">
        <f t="shared" si="79"/>
        <v>1</v>
      </c>
      <c r="N466" s="958"/>
      <c r="O466" s="53">
        <f t="shared" si="80"/>
        <v>1</v>
      </c>
      <c r="P466" s="958"/>
      <c r="Q466" s="53">
        <f t="shared" si="81"/>
        <v>1</v>
      </c>
      <c r="R466" s="488">
        <f t="shared" si="82"/>
        <v>0</v>
      </c>
      <c r="S466" s="795">
        <f t="shared" si="83"/>
        <v>0</v>
      </c>
    </row>
    <row r="467" spans="1:19">
      <c r="A467" s="960"/>
      <c r="B467" s="137"/>
      <c r="C467" s="53">
        <f t="shared" si="74"/>
        <v>1</v>
      </c>
      <c r="D467" s="958"/>
      <c r="E467" s="53">
        <f t="shared" si="75"/>
        <v>1</v>
      </c>
      <c r="F467" s="958"/>
      <c r="G467" s="53">
        <f t="shared" si="76"/>
        <v>1</v>
      </c>
      <c r="H467" s="958"/>
      <c r="I467" s="53">
        <f t="shared" si="77"/>
        <v>1</v>
      </c>
      <c r="J467" s="958"/>
      <c r="K467" s="53">
        <f t="shared" si="78"/>
        <v>1</v>
      </c>
      <c r="L467" s="958"/>
      <c r="M467" s="53">
        <f t="shared" si="79"/>
        <v>1</v>
      </c>
      <c r="N467" s="958"/>
      <c r="O467" s="53">
        <f t="shared" si="80"/>
        <v>1</v>
      </c>
      <c r="P467" s="958"/>
      <c r="Q467" s="53">
        <f t="shared" si="81"/>
        <v>1</v>
      </c>
      <c r="R467" s="488">
        <f t="shared" si="82"/>
        <v>0</v>
      </c>
      <c r="S467" s="795">
        <f t="shared" si="83"/>
        <v>0</v>
      </c>
    </row>
    <row r="468" spans="1:19">
      <c r="A468" s="960"/>
      <c r="B468" s="137"/>
      <c r="C468" s="53">
        <f t="shared" si="74"/>
        <v>1</v>
      </c>
      <c r="D468" s="958"/>
      <c r="E468" s="53">
        <f t="shared" si="75"/>
        <v>1</v>
      </c>
      <c r="F468" s="958"/>
      <c r="G468" s="53">
        <f t="shared" si="76"/>
        <v>1</v>
      </c>
      <c r="H468" s="958"/>
      <c r="I468" s="53">
        <f t="shared" si="77"/>
        <v>1</v>
      </c>
      <c r="J468" s="958"/>
      <c r="K468" s="53">
        <f t="shared" si="78"/>
        <v>1</v>
      </c>
      <c r="L468" s="958"/>
      <c r="M468" s="53">
        <f t="shared" si="79"/>
        <v>1</v>
      </c>
      <c r="N468" s="958"/>
      <c r="O468" s="53">
        <f t="shared" si="80"/>
        <v>1</v>
      </c>
      <c r="P468" s="958"/>
      <c r="Q468" s="53">
        <f t="shared" si="81"/>
        <v>1</v>
      </c>
      <c r="R468" s="488">
        <f t="shared" si="82"/>
        <v>0</v>
      </c>
      <c r="S468" s="795">
        <f t="shared" ref="S468:S497" si="84">ROUND(R468*B468/10000,0)</f>
        <v>0</v>
      </c>
    </row>
    <row r="469" spans="1:19">
      <c r="A469" s="960"/>
      <c r="B469" s="137"/>
      <c r="C469" s="53">
        <f t="shared" si="74"/>
        <v>1</v>
      </c>
      <c r="D469" s="958"/>
      <c r="E469" s="53">
        <f t="shared" si="75"/>
        <v>1</v>
      </c>
      <c r="F469" s="958"/>
      <c r="G469" s="53">
        <f t="shared" si="76"/>
        <v>1</v>
      </c>
      <c r="H469" s="958"/>
      <c r="I469" s="53">
        <f t="shared" si="77"/>
        <v>1</v>
      </c>
      <c r="J469" s="958"/>
      <c r="K469" s="53">
        <f t="shared" si="78"/>
        <v>1</v>
      </c>
      <c r="L469" s="958"/>
      <c r="M469" s="53">
        <f t="shared" si="79"/>
        <v>1</v>
      </c>
      <c r="N469" s="958"/>
      <c r="O469" s="53">
        <f t="shared" si="80"/>
        <v>1</v>
      </c>
      <c r="P469" s="958"/>
      <c r="Q469" s="53">
        <f t="shared" si="81"/>
        <v>1</v>
      </c>
      <c r="R469" s="488">
        <f t="shared" si="82"/>
        <v>0</v>
      </c>
      <c r="S469" s="795">
        <f t="shared" si="84"/>
        <v>0</v>
      </c>
    </row>
    <row r="470" spans="1:19">
      <c r="A470" s="960"/>
      <c r="B470" s="137"/>
      <c r="C470" s="53">
        <f t="shared" si="74"/>
        <v>1</v>
      </c>
      <c r="D470" s="958"/>
      <c r="E470" s="53">
        <f t="shared" si="75"/>
        <v>1</v>
      </c>
      <c r="F470" s="958"/>
      <c r="G470" s="53">
        <f t="shared" si="76"/>
        <v>1</v>
      </c>
      <c r="H470" s="958"/>
      <c r="I470" s="53">
        <f t="shared" si="77"/>
        <v>1</v>
      </c>
      <c r="J470" s="958"/>
      <c r="K470" s="53">
        <f t="shared" si="78"/>
        <v>1</v>
      </c>
      <c r="L470" s="958"/>
      <c r="M470" s="53">
        <f t="shared" si="79"/>
        <v>1</v>
      </c>
      <c r="N470" s="958"/>
      <c r="O470" s="53">
        <f t="shared" si="80"/>
        <v>1</v>
      </c>
      <c r="P470" s="958"/>
      <c r="Q470" s="53">
        <f t="shared" si="81"/>
        <v>1</v>
      </c>
      <c r="R470" s="488">
        <f t="shared" si="82"/>
        <v>0</v>
      </c>
      <c r="S470" s="795">
        <f t="shared" si="84"/>
        <v>0</v>
      </c>
    </row>
    <row r="471" spans="1:19">
      <c r="A471" s="960"/>
      <c r="B471" s="137"/>
      <c r="C471" s="53">
        <f t="shared" si="74"/>
        <v>1</v>
      </c>
      <c r="D471" s="958"/>
      <c r="E471" s="53">
        <f t="shared" si="75"/>
        <v>1</v>
      </c>
      <c r="F471" s="958"/>
      <c r="G471" s="53">
        <f t="shared" si="76"/>
        <v>1</v>
      </c>
      <c r="H471" s="958"/>
      <c r="I471" s="53">
        <f t="shared" si="77"/>
        <v>1</v>
      </c>
      <c r="J471" s="958"/>
      <c r="K471" s="53">
        <f t="shared" si="78"/>
        <v>1</v>
      </c>
      <c r="L471" s="958"/>
      <c r="M471" s="53">
        <f t="shared" si="79"/>
        <v>1</v>
      </c>
      <c r="N471" s="958"/>
      <c r="O471" s="53">
        <f t="shared" si="80"/>
        <v>1</v>
      </c>
      <c r="P471" s="958"/>
      <c r="Q471" s="53">
        <f t="shared" si="81"/>
        <v>1</v>
      </c>
      <c r="R471" s="488">
        <f t="shared" si="82"/>
        <v>0</v>
      </c>
      <c r="S471" s="795">
        <f t="shared" si="84"/>
        <v>0</v>
      </c>
    </row>
    <row r="472" spans="1:19">
      <c r="A472" s="960"/>
      <c r="B472" s="137"/>
      <c r="C472" s="53">
        <f t="shared" si="74"/>
        <v>1</v>
      </c>
      <c r="D472" s="958"/>
      <c r="E472" s="53">
        <f t="shared" si="75"/>
        <v>1</v>
      </c>
      <c r="F472" s="958"/>
      <c r="G472" s="53">
        <f t="shared" si="76"/>
        <v>1</v>
      </c>
      <c r="H472" s="958"/>
      <c r="I472" s="53">
        <f t="shared" si="77"/>
        <v>1</v>
      </c>
      <c r="J472" s="958"/>
      <c r="K472" s="53">
        <f t="shared" si="78"/>
        <v>1</v>
      </c>
      <c r="L472" s="958"/>
      <c r="M472" s="53">
        <f t="shared" si="79"/>
        <v>1</v>
      </c>
      <c r="N472" s="958"/>
      <c r="O472" s="53">
        <f t="shared" si="80"/>
        <v>1</v>
      </c>
      <c r="P472" s="958"/>
      <c r="Q472" s="53">
        <f t="shared" si="81"/>
        <v>1</v>
      </c>
      <c r="R472" s="488">
        <f t="shared" si="82"/>
        <v>0</v>
      </c>
      <c r="S472" s="795">
        <f t="shared" si="84"/>
        <v>0</v>
      </c>
    </row>
    <row r="473" spans="1:19">
      <c r="A473" s="960"/>
      <c r="B473" s="137"/>
      <c r="C473" s="53">
        <f t="shared" si="74"/>
        <v>1</v>
      </c>
      <c r="D473" s="958"/>
      <c r="E473" s="53">
        <f t="shared" si="75"/>
        <v>1</v>
      </c>
      <c r="F473" s="958"/>
      <c r="G473" s="53">
        <f t="shared" si="76"/>
        <v>1</v>
      </c>
      <c r="H473" s="958"/>
      <c r="I473" s="53">
        <f t="shared" si="77"/>
        <v>1</v>
      </c>
      <c r="J473" s="958"/>
      <c r="K473" s="53">
        <f t="shared" si="78"/>
        <v>1</v>
      </c>
      <c r="L473" s="958"/>
      <c r="M473" s="53">
        <f t="shared" si="79"/>
        <v>1</v>
      </c>
      <c r="N473" s="958"/>
      <c r="O473" s="53">
        <f t="shared" si="80"/>
        <v>1</v>
      </c>
      <c r="P473" s="958"/>
      <c r="Q473" s="53">
        <f t="shared" si="81"/>
        <v>1</v>
      </c>
      <c r="R473" s="488">
        <f t="shared" si="82"/>
        <v>0</v>
      </c>
      <c r="S473" s="795">
        <f t="shared" si="84"/>
        <v>0</v>
      </c>
    </row>
    <row r="474" spans="1:19">
      <c r="A474" s="960"/>
      <c r="B474" s="137"/>
      <c r="C474" s="53">
        <f t="shared" ref="C474:C524" si="85">IF(B474="",1,(LOOKUP(B474,$3:$3,$4:$4)-LOOKUP($B$24,$3:$3,$4:$4)+100)/100)</f>
        <v>1</v>
      </c>
      <c r="D474" s="958"/>
      <c r="E474" s="53">
        <f t="shared" ref="E474:E524" si="86">(SUMIF($5:$5,D474,$6:$6)-SUMIF($5:$5,$D$24,$6:$6)+100)/100</f>
        <v>1</v>
      </c>
      <c r="F474" s="958"/>
      <c r="G474" s="53">
        <f t="shared" ref="G474:G524" si="87">(SUMIF($7:$7,F474,$8:$8)-SUMIF($7:$7,$F$24,$8:$8)+100)/100</f>
        <v>1</v>
      </c>
      <c r="H474" s="958"/>
      <c r="I474" s="53">
        <f t="shared" ref="I474:I524" si="88">(SUMIF($9:$9,H474,$10:$10)-SUMIF($9:$9,$H$24,$10:$10)+100)/100</f>
        <v>1</v>
      </c>
      <c r="J474" s="958"/>
      <c r="K474" s="53">
        <f t="shared" ref="K474:K524" si="89">(SUMIF($11:$11,J474,$12:$12)-SUMIF($11:$11,$J$24,$12:$12)+100)/100</f>
        <v>1</v>
      </c>
      <c r="L474" s="958"/>
      <c r="M474" s="53">
        <f t="shared" ref="M474:M524" si="90">(SUMIF($13:$13,L474,$14:$14)-SUMIF($13:$13,$L$24,$14:$14)+100)/100</f>
        <v>1</v>
      </c>
      <c r="N474" s="958"/>
      <c r="O474" s="53">
        <f t="shared" ref="O474:O524" si="91">(SUMIF($15:$15,N474,$16:$16)-SUMIF($15:$15,$N$24,$16:$16)+100)/100</f>
        <v>1</v>
      </c>
      <c r="P474" s="958"/>
      <c r="Q474" s="53">
        <f t="shared" ref="Q474:Q524" si="92">(SUMIF($17:$17,P474,$18:$18)-SUMIF($17:$17,$P$24,$18:$18)+100)/100</f>
        <v>1</v>
      </c>
      <c r="R474" s="488">
        <f t="shared" ref="R474:R524" si="93">IF(B474="",0,ROUND($R$24*C474*E474*G474*I474*K474*M474*O474*Q474,0))</f>
        <v>0</v>
      </c>
      <c r="S474" s="795">
        <f t="shared" si="84"/>
        <v>0</v>
      </c>
    </row>
    <row r="475" spans="1:19">
      <c r="A475" s="960"/>
      <c r="B475" s="137"/>
      <c r="C475" s="53">
        <f t="shared" si="85"/>
        <v>1</v>
      </c>
      <c r="D475" s="958"/>
      <c r="E475" s="53">
        <f t="shared" si="86"/>
        <v>1</v>
      </c>
      <c r="F475" s="958"/>
      <c r="G475" s="53">
        <f t="shared" si="87"/>
        <v>1</v>
      </c>
      <c r="H475" s="958"/>
      <c r="I475" s="53">
        <f t="shared" si="88"/>
        <v>1</v>
      </c>
      <c r="J475" s="958"/>
      <c r="K475" s="53">
        <f t="shared" si="89"/>
        <v>1</v>
      </c>
      <c r="L475" s="958"/>
      <c r="M475" s="53">
        <f t="shared" si="90"/>
        <v>1</v>
      </c>
      <c r="N475" s="958"/>
      <c r="O475" s="53">
        <f t="shared" si="91"/>
        <v>1</v>
      </c>
      <c r="P475" s="958"/>
      <c r="Q475" s="53">
        <f t="shared" si="92"/>
        <v>1</v>
      </c>
      <c r="R475" s="488">
        <f t="shared" si="93"/>
        <v>0</v>
      </c>
      <c r="S475" s="795">
        <f t="shared" si="84"/>
        <v>0</v>
      </c>
    </row>
    <row r="476" spans="1:19">
      <c r="A476" s="960"/>
      <c r="B476" s="137"/>
      <c r="C476" s="53">
        <f t="shared" si="85"/>
        <v>1</v>
      </c>
      <c r="D476" s="958"/>
      <c r="E476" s="53">
        <f t="shared" si="86"/>
        <v>1</v>
      </c>
      <c r="F476" s="958"/>
      <c r="G476" s="53">
        <f t="shared" si="87"/>
        <v>1</v>
      </c>
      <c r="H476" s="958"/>
      <c r="I476" s="53">
        <f t="shared" si="88"/>
        <v>1</v>
      </c>
      <c r="J476" s="958"/>
      <c r="K476" s="53">
        <f t="shared" si="89"/>
        <v>1</v>
      </c>
      <c r="L476" s="958"/>
      <c r="M476" s="53">
        <f t="shared" si="90"/>
        <v>1</v>
      </c>
      <c r="N476" s="958"/>
      <c r="O476" s="53">
        <f t="shared" si="91"/>
        <v>1</v>
      </c>
      <c r="P476" s="958"/>
      <c r="Q476" s="53">
        <f t="shared" si="92"/>
        <v>1</v>
      </c>
      <c r="R476" s="488">
        <f t="shared" si="93"/>
        <v>0</v>
      </c>
      <c r="S476" s="795">
        <f t="shared" si="84"/>
        <v>0</v>
      </c>
    </row>
    <row r="477" spans="1:19">
      <c r="A477" s="960"/>
      <c r="B477" s="137"/>
      <c r="C477" s="53">
        <f t="shared" si="85"/>
        <v>1</v>
      </c>
      <c r="D477" s="958"/>
      <c r="E477" s="53">
        <f t="shared" si="86"/>
        <v>1</v>
      </c>
      <c r="F477" s="958"/>
      <c r="G477" s="53">
        <f t="shared" si="87"/>
        <v>1</v>
      </c>
      <c r="H477" s="958"/>
      <c r="I477" s="53">
        <f t="shared" si="88"/>
        <v>1</v>
      </c>
      <c r="J477" s="958"/>
      <c r="K477" s="53">
        <f t="shared" si="89"/>
        <v>1</v>
      </c>
      <c r="L477" s="958"/>
      <c r="M477" s="53">
        <f t="shared" si="90"/>
        <v>1</v>
      </c>
      <c r="N477" s="958"/>
      <c r="O477" s="53">
        <f t="shared" si="91"/>
        <v>1</v>
      </c>
      <c r="P477" s="958"/>
      <c r="Q477" s="53">
        <f t="shared" si="92"/>
        <v>1</v>
      </c>
      <c r="R477" s="488">
        <f t="shared" si="93"/>
        <v>0</v>
      </c>
      <c r="S477" s="795">
        <f t="shared" si="84"/>
        <v>0</v>
      </c>
    </row>
    <row r="478" spans="1:19">
      <c r="A478" s="960"/>
      <c r="B478" s="137"/>
      <c r="C478" s="53">
        <f t="shared" si="85"/>
        <v>1</v>
      </c>
      <c r="D478" s="958"/>
      <c r="E478" s="53">
        <f t="shared" si="86"/>
        <v>1</v>
      </c>
      <c r="F478" s="958"/>
      <c r="G478" s="53">
        <f t="shared" si="87"/>
        <v>1</v>
      </c>
      <c r="H478" s="958"/>
      <c r="I478" s="53">
        <f t="shared" si="88"/>
        <v>1</v>
      </c>
      <c r="J478" s="958"/>
      <c r="K478" s="53">
        <f t="shared" si="89"/>
        <v>1</v>
      </c>
      <c r="L478" s="958"/>
      <c r="M478" s="53">
        <f t="shared" si="90"/>
        <v>1</v>
      </c>
      <c r="N478" s="958"/>
      <c r="O478" s="53">
        <f t="shared" si="91"/>
        <v>1</v>
      </c>
      <c r="P478" s="958"/>
      <c r="Q478" s="53">
        <f t="shared" si="92"/>
        <v>1</v>
      </c>
      <c r="R478" s="488">
        <f t="shared" si="93"/>
        <v>0</v>
      </c>
      <c r="S478" s="795">
        <f t="shared" si="84"/>
        <v>0</v>
      </c>
    </row>
    <row r="479" spans="1:19">
      <c r="A479" s="960"/>
      <c r="B479" s="137"/>
      <c r="C479" s="53">
        <f t="shared" si="85"/>
        <v>1</v>
      </c>
      <c r="D479" s="958"/>
      <c r="E479" s="53">
        <f t="shared" si="86"/>
        <v>1</v>
      </c>
      <c r="F479" s="958"/>
      <c r="G479" s="53">
        <f t="shared" si="87"/>
        <v>1</v>
      </c>
      <c r="H479" s="958"/>
      <c r="I479" s="53">
        <f t="shared" si="88"/>
        <v>1</v>
      </c>
      <c r="J479" s="958"/>
      <c r="K479" s="53">
        <f t="shared" si="89"/>
        <v>1</v>
      </c>
      <c r="L479" s="958"/>
      <c r="M479" s="53">
        <f t="shared" si="90"/>
        <v>1</v>
      </c>
      <c r="N479" s="958"/>
      <c r="O479" s="53">
        <f t="shared" si="91"/>
        <v>1</v>
      </c>
      <c r="P479" s="958"/>
      <c r="Q479" s="53">
        <f t="shared" si="92"/>
        <v>1</v>
      </c>
      <c r="R479" s="488">
        <f t="shared" si="93"/>
        <v>0</v>
      </c>
      <c r="S479" s="795">
        <f t="shared" si="84"/>
        <v>0</v>
      </c>
    </row>
    <row r="480" spans="1:19">
      <c r="A480" s="960"/>
      <c r="B480" s="137"/>
      <c r="C480" s="53">
        <f t="shared" si="85"/>
        <v>1</v>
      </c>
      <c r="D480" s="958"/>
      <c r="E480" s="53">
        <f t="shared" si="86"/>
        <v>1</v>
      </c>
      <c r="F480" s="958"/>
      <c r="G480" s="53">
        <f t="shared" si="87"/>
        <v>1</v>
      </c>
      <c r="H480" s="958"/>
      <c r="I480" s="53">
        <f t="shared" si="88"/>
        <v>1</v>
      </c>
      <c r="J480" s="958"/>
      <c r="K480" s="53">
        <f t="shared" si="89"/>
        <v>1</v>
      </c>
      <c r="L480" s="958"/>
      <c r="M480" s="53">
        <f t="shared" si="90"/>
        <v>1</v>
      </c>
      <c r="N480" s="958"/>
      <c r="O480" s="53">
        <f t="shared" si="91"/>
        <v>1</v>
      </c>
      <c r="P480" s="958"/>
      <c r="Q480" s="53">
        <f t="shared" si="92"/>
        <v>1</v>
      </c>
      <c r="R480" s="488">
        <f t="shared" si="93"/>
        <v>0</v>
      </c>
      <c r="S480" s="795">
        <f t="shared" si="84"/>
        <v>0</v>
      </c>
    </row>
    <row r="481" spans="1:19">
      <c r="A481" s="960"/>
      <c r="B481" s="137"/>
      <c r="C481" s="53">
        <f t="shared" si="85"/>
        <v>1</v>
      </c>
      <c r="D481" s="958"/>
      <c r="E481" s="53">
        <f t="shared" si="86"/>
        <v>1</v>
      </c>
      <c r="F481" s="958"/>
      <c r="G481" s="53">
        <f t="shared" si="87"/>
        <v>1</v>
      </c>
      <c r="H481" s="958"/>
      <c r="I481" s="53">
        <f t="shared" si="88"/>
        <v>1</v>
      </c>
      <c r="J481" s="958"/>
      <c r="K481" s="53">
        <f t="shared" si="89"/>
        <v>1</v>
      </c>
      <c r="L481" s="958"/>
      <c r="M481" s="53">
        <f t="shared" si="90"/>
        <v>1</v>
      </c>
      <c r="N481" s="958"/>
      <c r="O481" s="53">
        <f t="shared" si="91"/>
        <v>1</v>
      </c>
      <c r="P481" s="958"/>
      <c r="Q481" s="53">
        <f t="shared" si="92"/>
        <v>1</v>
      </c>
      <c r="R481" s="488">
        <f t="shared" si="93"/>
        <v>0</v>
      </c>
      <c r="S481" s="795">
        <f t="shared" si="84"/>
        <v>0</v>
      </c>
    </row>
    <row r="482" spans="1:19">
      <c r="A482" s="960"/>
      <c r="B482" s="137"/>
      <c r="C482" s="53">
        <f t="shared" si="85"/>
        <v>1</v>
      </c>
      <c r="D482" s="958"/>
      <c r="E482" s="53">
        <f t="shared" si="86"/>
        <v>1</v>
      </c>
      <c r="F482" s="958"/>
      <c r="G482" s="53">
        <f t="shared" si="87"/>
        <v>1</v>
      </c>
      <c r="H482" s="958"/>
      <c r="I482" s="53">
        <f t="shared" si="88"/>
        <v>1</v>
      </c>
      <c r="J482" s="958"/>
      <c r="K482" s="53">
        <f t="shared" si="89"/>
        <v>1</v>
      </c>
      <c r="L482" s="958"/>
      <c r="M482" s="53">
        <f t="shared" si="90"/>
        <v>1</v>
      </c>
      <c r="N482" s="958"/>
      <c r="O482" s="53">
        <f t="shared" si="91"/>
        <v>1</v>
      </c>
      <c r="P482" s="958"/>
      <c r="Q482" s="53">
        <f t="shared" si="92"/>
        <v>1</v>
      </c>
      <c r="R482" s="488">
        <f t="shared" si="93"/>
        <v>0</v>
      </c>
      <c r="S482" s="795">
        <f t="shared" si="84"/>
        <v>0</v>
      </c>
    </row>
    <row r="483" spans="1:19">
      <c r="A483" s="960"/>
      <c r="B483" s="137"/>
      <c r="C483" s="53">
        <f t="shared" si="85"/>
        <v>1</v>
      </c>
      <c r="D483" s="958"/>
      <c r="E483" s="53">
        <f t="shared" si="86"/>
        <v>1</v>
      </c>
      <c r="F483" s="958"/>
      <c r="G483" s="53">
        <f t="shared" si="87"/>
        <v>1</v>
      </c>
      <c r="H483" s="958"/>
      <c r="I483" s="53">
        <f t="shared" si="88"/>
        <v>1</v>
      </c>
      <c r="J483" s="958"/>
      <c r="K483" s="53">
        <f t="shared" si="89"/>
        <v>1</v>
      </c>
      <c r="L483" s="958"/>
      <c r="M483" s="53">
        <f t="shared" si="90"/>
        <v>1</v>
      </c>
      <c r="N483" s="958"/>
      <c r="O483" s="53">
        <f t="shared" si="91"/>
        <v>1</v>
      </c>
      <c r="P483" s="958"/>
      <c r="Q483" s="53">
        <f t="shared" si="92"/>
        <v>1</v>
      </c>
      <c r="R483" s="488">
        <f t="shared" si="93"/>
        <v>0</v>
      </c>
      <c r="S483" s="795">
        <f t="shared" si="84"/>
        <v>0</v>
      </c>
    </row>
    <row r="484" spans="1:19">
      <c r="A484" s="960"/>
      <c r="B484" s="137"/>
      <c r="C484" s="53">
        <f t="shared" si="85"/>
        <v>1</v>
      </c>
      <c r="D484" s="958"/>
      <c r="E484" s="53">
        <f t="shared" si="86"/>
        <v>1</v>
      </c>
      <c r="F484" s="958"/>
      <c r="G484" s="53">
        <f t="shared" si="87"/>
        <v>1</v>
      </c>
      <c r="H484" s="958"/>
      <c r="I484" s="53">
        <f t="shared" si="88"/>
        <v>1</v>
      </c>
      <c r="J484" s="958"/>
      <c r="K484" s="53">
        <f t="shared" si="89"/>
        <v>1</v>
      </c>
      <c r="L484" s="958"/>
      <c r="M484" s="53">
        <f t="shared" si="90"/>
        <v>1</v>
      </c>
      <c r="N484" s="958"/>
      <c r="O484" s="53">
        <f t="shared" si="91"/>
        <v>1</v>
      </c>
      <c r="P484" s="958"/>
      <c r="Q484" s="53">
        <f t="shared" si="92"/>
        <v>1</v>
      </c>
      <c r="R484" s="488">
        <f t="shared" si="93"/>
        <v>0</v>
      </c>
      <c r="S484" s="795">
        <f t="shared" si="84"/>
        <v>0</v>
      </c>
    </row>
    <row r="485" spans="1:19">
      <c r="A485" s="960"/>
      <c r="B485" s="137"/>
      <c r="C485" s="53">
        <f t="shared" si="85"/>
        <v>1</v>
      </c>
      <c r="D485" s="958"/>
      <c r="E485" s="53">
        <f t="shared" si="86"/>
        <v>1</v>
      </c>
      <c r="F485" s="958"/>
      <c r="G485" s="53">
        <f t="shared" si="87"/>
        <v>1</v>
      </c>
      <c r="H485" s="958"/>
      <c r="I485" s="53">
        <f t="shared" si="88"/>
        <v>1</v>
      </c>
      <c r="J485" s="958"/>
      <c r="K485" s="53">
        <f t="shared" si="89"/>
        <v>1</v>
      </c>
      <c r="L485" s="958"/>
      <c r="M485" s="53">
        <f t="shared" si="90"/>
        <v>1</v>
      </c>
      <c r="N485" s="958"/>
      <c r="O485" s="53">
        <f t="shared" si="91"/>
        <v>1</v>
      </c>
      <c r="P485" s="958"/>
      <c r="Q485" s="53">
        <f t="shared" si="92"/>
        <v>1</v>
      </c>
      <c r="R485" s="488">
        <f t="shared" si="93"/>
        <v>0</v>
      </c>
      <c r="S485" s="795">
        <f t="shared" si="84"/>
        <v>0</v>
      </c>
    </row>
    <row r="486" spans="1:19">
      <c r="A486" s="960"/>
      <c r="B486" s="137"/>
      <c r="C486" s="53">
        <f t="shared" si="85"/>
        <v>1</v>
      </c>
      <c r="D486" s="958"/>
      <c r="E486" s="53">
        <f t="shared" si="86"/>
        <v>1</v>
      </c>
      <c r="F486" s="958"/>
      <c r="G486" s="53">
        <f t="shared" si="87"/>
        <v>1</v>
      </c>
      <c r="H486" s="958"/>
      <c r="I486" s="53">
        <f t="shared" si="88"/>
        <v>1</v>
      </c>
      <c r="J486" s="958"/>
      <c r="K486" s="53">
        <f t="shared" si="89"/>
        <v>1</v>
      </c>
      <c r="L486" s="958"/>
      <c r="M486" s="53">
        <f t="shared" si="90"/>
        <v>1</v>
      </c>
      <c r="N486" s="958"/>
      <c r="O486" s="53">
        <f t="shared" si="91"/>
        <v>1</v>
      </c>
      <c r="P486" s="958"/>
      <c r="Q486" s="53">
        <f t="shared" si="92"/>
        <v>1</v>
      </c>
      <c r="R486" s="488">
        <f t="shared" si="93"/>
        <v>0</v>
      </c>
      <c r="S486" s="795">
        <f t="shared" si="84"/>
        <v>0</v>
      </c>
    </row>
    <row r="487" spans="1:19">
      <c r="A487" s="960"/>
      <c r="B487" s="137"/>
      <c r="C487" s="53">
        <f t="shared" si="85"/>
        <v>1</v>
      </c>
      <c r="D487" s="958"/>
      <c r="E487" s="53">
        <f t="shared" si="86"/>
        <v>1</v>
      </c>
      <c r="F487" s="958"/>
      <c r="G487" s="53">
        <f t="shared" si="87"/>
        <v>1</v>
      </c>
      <c r="H487" s="958"/>
      <c r="I487" s="53">
        <f t="shared" si="88"/>
        <v>1</v>
      </c>
      <c r="J487" s="958"/>
      <c r="K487" s="53">
        <f t="shared" si="89"/>
        <v>1</v>
      </c>
      <c r="L487" s="958"/>
      <c r="M487" s="53">
        <f t="shared" si="90"/>
        <v>1</v>
      </c>
      <c r="N487" s="958"/>
      <c r="O487" s="53">
        <f t="shared" si="91"/>
        <v>1</v>
      </c>
      <c r="P487" s="958"/>
      <c r="Q487" s="53">
        <f t="shared" si="92"/>
        <v>1</v>
      </c>
      <c r="R487" s="488">
        <f t="shared" si="93"/>
        <v>0</v>
      </c>
      <c r="S487" s="795">
        <f t="shared" si="84"/>
        <v>0</v>
      </c>
    </row>
    <row r="488" spans="1:19">
      <c r="A488" s="960"/>
      <c r="B488" s="137"/>
      <c r="C488" s="53">
        <f t="shared" si="85"/>
        <v>1</v>
      </c>
      <c r="D488" s="958"/>
      <c r="E488" s="53">
        <f t="shared" si="86"/>
        <v>1</v>
      </c>
      <c r="F488" s="958"/>
      <c r="G488" s="53">
        <f t="shared" si="87"/>
        <v>1</v>
      </c>
      <c r="H488" s="958"/>
      <c r="I488" s="53">
        <f t="shared" si="88"/>
        <v>1</v>
      </c>
      <c r="J488" s="958"/>
      <c r="K488" s="53">
        <f t="shared" si="89"/>
        <v>1</v>
      </c>
      <c r="L488" s="958"/>
      <c r="M488" s="53">
        <f t="shared" si="90"/>
        <v>1</v>
      </c>
      <c r="N488" s="958"/>
      <c r="O488" s="53">
        <f t="shared" si="91"/>
        <v>1</v>
      </c>
      <c r="P488" s="958"/>
      <c r="Q488" s="53">
        <f t="shared" si="92"/>
        <v>1</v>
      </c>
      <c r="R488" s="488">
        <f t="shared" si="93"/>
        <v>0</v>
      </c>
      <c r="S488" s="795">
        <f t="shared" si="84"/>
        <v>0</v>
      </c>
    </row>
    <row r="489" spans="1:19">
      <c r="A489" s="960"/>
      <c r="B489" s="137"/>
      <c r="C489" s="53">
        <f t="shared" si="85"/>
        <v>1</v>
      </c>
      <c r="D489" s="958"/>
      <c r="E489" s="53">
        <f t="shared" si="86"/>
        <v>1</v>
      </c>
      <c r="F489" s="958"/>
      <c r="G489" s="53">
        <f t="shared" si="87"/>
        <v>1</v>
      </c>
      <c r="H489" s="958"/>
      <c r="I489" s="53">
        <f t="shared" si="88"/>
        <v>1</v>
      </c>
      <c r="J489" s="958"/>
      <c r="K489" s="53">
        <f t="shared" si="89"/>
        <v>1</v>
      </c>
      <c r="L489" s="958"/>
      <c r="M489" s="53">
        <f t="shared" si="90"/>
        <v>1</v>
      </c>
      <c r="N489" s="958"/>
      <c r="O489" s="53">
        <f t="shared" si="91"/>
        <v>1</v>
      </c>
      <c r="P489" s="958"/>
      <c r="Q489" s="53">
        <f t="shared" si="92"/>
        <v>1</v>
      </c>
      <c r="R489" s="488">
        <f t="shared" si="93"/>
        <v>0</v>
      </c>
      <c r="S489" s="795">
        <f t="shared" si="84"/>
        <v>0</v>
      </c>
    </row>
    <row r="490" spans="1:19">
      <c r="A490" s="960"/>
      <c r="B490" s="137"/>
      <c r="C490" s="53">
        <f t="shared" si="85"/>
        <v>1</v>
      </c>
      <c r="D490" s="958"/>
      <c r="E490" s="53">
        <f t="shared" si="86"/>
        <v>1</v>
      </c>
      <c r="F490" s="958"/>
      <c r="G490" s="53">
        <f t="shared" si="87"/>
        <v>1</v>
      </c>
      <c r="H490" s="958"/>
      <c r="I490" s="53">
        <f t="shared" si="88"/>
        <v>1</v>
      </c>
      <c r="J490" s="958"/>
      <c r="K490" s="53">
        <f t="shared" si="89"/>
        <v>1</v>
      </c>
      <c r="L490" s="958"/>
      <c r="M490" s="53">
        <f t="shared" si="90"/>
        <v>1</v>
      </c>
      <c r="N490" s="958"/>
      <c r="O490" s="53">
        <f t="shared" si="91"/>
        <v>1</v>
      </c>
      <c r="P490" s="958"/>
      <c r="Q490" s="53">
        <f t="shared" si="92"/>
        <v>1</v>
      </c>
      <c r="R490" s="488">
        <f t="shared" si="93"/>
        <v>0</v>
      </c>
      <c r="S490" s="795">
        <f t="shared" si="84"/>
        <v>0</v>
      </c>
    </row>
    <row r="491" spans="1:19">
      <c r="A491" s="960"/>
      <c r="B491" s="137"/>
      <c r="C491" s="53">
        <f t="shared" si="85"/>
        <v>1</v>
      </c>
      <c r="D491" s="958"/>
      <c r="E491" s="53">
        <f t="shared" si="86"/>
        <v>1</v>
      </c>
      <c r="F491" s="958"/>
      <c r="G491" s="53">
        <f t="shared" si="87"/>
        <v>1</v>
      </c>
      <c r="H491" s="958"/>
      <c r="I491" s="53">
        <f t="shared" si="88"/>
        <v>1</v>
      </c>
      <c r="J491" s="958"/>
      <c r="K491" s="53">
        <f t="shared" si="89"/>
        <v>1</v>
      </c>
      <c r="L491" s="958"/>
      <c r="M491" s="53">
        <f t="shared" si="90"/>
        <v>1</v>
      </c>
      <c r="N491" s="958"/>
      <c r="O491" s="53">
        <f t="shared" si="91"/>
        <v>1</v>
      </c>
      <c r="P491" s="958"/>
      <c r="Q491" s="53">
        <f t="shared" si="92"/>
        <v>1</v>
      </c>
      <c r="R491" s="488">
        <f t="shared" si="93"/>
        <v>0</v>
      </c>
      <c r="S491" s="795">
        <f t="shared" si="84"/>
        <v>0</v>
      </c>
    </row>
    <row r="492" spans="1:19">
      <c r="A492" s="960"/>
      <c r="B492" s="137"/>
      <c r="C492" s="53">
        <f t="shared" si="85"/>
        <v>1</v>
      </c>
      <c r="D492" s="958"/>
      <c r="E492" s="53">
        <f t="shared" si="86"/>
        <v>1</v>
      </c>
      <c r="F492" s="958"/>
      <c r="G492" s="53">
        <f t="shared" si="87"/>
        <v>1</v>
      </c>
      <c r="H492" s="958"/>
      <c r="I492" s="53">
        <f t="shared" si="88"/>
        <v>1</v>
      </c>
      <c r="J492" s="958"/>
      <c r="K492" s="53">
        <f t="shared" si="89"/>
        <v>1</v>
      </c>
      <c r="L492" s="958"/>
      <c r="M492" s="53">
        <f t="shared" si="90"/>
        <v>1</v>
      </c>
      <c r="N492" s="958"/>
      <c r="O492" s="53">
        <f t="shared" si="91"/>
        <v>1</v>
      </c>
      <c r="P492" s="958"/>
      <c r="Q492" s="53">
        <f t="shared" si="92"/>
        <v>1</v>
      </c>
      <c r="R492" s="488">
        <f t="shared" si="93"/>
        <v>0</v>
      </c>
      <c r="S492" s="795">
        <f t="shared" si="84"/>
        <v>0</v>
      </c>
    </row>
    <row r="493" spans="1:19">
      <c r="A493" s="960"/>
      <c r="B493" s="137"/>
      <c r="C493" s="53">
        <f t="shared" si="85"/>
        <v>1</v>
      </c>
      <c r="D493" s="958"/>
      <c r="E493" s="53">
        <f t="shared" si="86"/>
        <v>1</v>
      </c>
      <c r="F493" s="958"/>
      <c r="G493" s="53">
        <f t="shared" si="87"/>
        <v>1</v>
      </c>
      <c r="H493" s="958"/>
      <c r="I493" s="53">
        <f t="shared" si="88"/>
        <v>1</v>
      </c>
      <c r="J493" s="958"/>
      <c r="K493" s="53">
        <f t="shared" si="89"/>
        <v>1</v>
      </c>
      <c r="L493" s="958"/>
      <c r="M493" s="53">
        <f t="shared" si="90"/>
        <v>1</v>
      </c>
      <c r="N493" s="958"/>
      <c r="O493" s="53">
        <f t="shared" si="91"/>
        <v>1</v>
      </c>
      <c r="P493" s="958"/>
      <c r="Q493" s="53">
        <f t="shared" si="92"/>
        <v>1</v>
      </c>
      <c r="R493" s="488">
        <f t="shared" si="93"/>
        <v>0</v>
      </c>
      <c r="S493" s="795">
        <f t="shared" si="84"/>
        <v>0</v>
      </c>
    </row>
    <row r="494" spans="1:19">
      <c r="A494" s="960"/>
      <c r="B494" s="137"/>
      <c r="C494" s="53">
        <f t="shared" si="85"/>
        <v>1</v>
      </c>
      <c r="D494" s="958"/>
      <c r="E494" s="53">
        <f t="shared" si="86"/>
        <v>1</v>
      </c>
      <c r="F494" s="958"/>
      <c r="G494" s="53">
        <f t="shared" si="87"/>
        <v>1</v>
      </c>
      <c r="H494" s="958"/>
      <c r="I494" s="53">
        <f t="shared" si="88"/>
        <v>1</v>
      </c>
      <c r="J494" s="958"/>
      <c r="K494" s="53">
        <f t="shared" si="89"/>
        <v>1</v>
      </c>
      <c r="L494" s="958"/>
      <c r="M494" s="53">
        <f t="shared" si="90"/>
        <v>1</v>
      </c>
      <c r="N494" s="958"/>
      <c r="O494" s="53">
        <f t="shared" si="91"/>
        <v>1</v>
      </c>
      <c r="P494" s="958"/>
      <c r="Q494" s="53">
        <f t="shared" si="92"/>
        <v>1</v>
      </c>
      <c r="R494" s="488">
        <f t="shared" si="93"/>
        <v>0</v>
      </c>
      <c r="S494" s="795">
        <f t="shared" si="84"/>
        <v>0</v>
      </c>
    </row>
    <row r="495" spans="1:19">
      <c r="A495" s="960"/>
      <c r="B495" s="137"/>
      <c r="C495" s="53">
        <f t="shared" si="85"/>
        <v>1</v>
      </c>
      <c r="D495" s="958"/>
      <c r="E495" s="53">
        <f t="shared" si="86"/>
        <v>1</v>
      </c>
      <c r="F495" s="958"/>
      <c r="G495" s="53">
        <f t="shared" si="87"/>
        <v>1</v>
      </c>
      <c r="H495" s="958"/>
      <c r="I495" s="53">
        <f t="shared" si="88"/>
        <v>1</v>
      </c>
      <c r="J495" s="958"/>
      <c r="K495" s="53">
        <f t="shared" si="89"/>
        <v>1</v>
      </c>
      <c r="L495" s="958"/>
      <c r="M495" s="53">
        <f t="shared" si="90"/>
        <v>1</v>
      </c>
      <c r="N495" s="958"/>
      <c r="O495" s="53">
        <f t="shared" si="91"/>
        <v>1</v>
      </c>
      <c r="P495" s="958"/>
      <c r="Q495" s="53">
        <f t="shared" si="92"/>
        <v>1</v>
      </c>
      <c r="R495" s="488">
        <f t="shared" si="93"/>
        <v>0</v>
      </c>
      <c r="S495" s="795">
        <f t="shared" si="84"/>
        <v>0</v>
      </c>
    </row>
    <row r="496" spans="1:19">
      <c r="A496" s="960"/>
      <c r="B496" s="137"/>
      <c r="C496" s="53">
        <f t="shared" si="85"/>
        <v>1</v>
      </c>
      <c r="D496" s="958"/>
      <c r="E496" s="53">
        <f t="shared" si="86"/>
        <v>1</v>
      </c>
      <c r="F496" s="958"/>
      <c r="G496" s="53">
        <f t="shared" si="87"/>
        <v>1</v>
      </c>
      <c r="H496" s="958"/>
      <c r="I496" s="53">
        <f t="shared" si="88"/>
        <v>1</v>
      </c>
      <c r="J496" s="958"/>
      <c r="K496" s="53">
        <f t="shared" si="89"/>
        <v>1</v>
      </c>
      <c r="L496" s="958"/>
      <c r="M496" s="53">
        <f t="shared" si="90"/>
        <v>1</v>
      </c>
      <c r="N496" s="958"/>
      <c r="O496" s="53">
        <f t="shared" si="91"/>
        <v>1</v>
      </c>
      <c r="P496" s="958"/>
      <c r="Q496" s="53">
        <f t="shared" si="92"/>
        <v>1</v>
      </c>
      <c r="R496" s="488">
        <f t="shared" si="93"/>
        <v>0</v>
      </c>
      <c r="S496" s="795">
        <f t="shared" si="84"/>
        <v>0</v>
      </c>
    </row>
    <row r="497" spans="1:19">
      <c r="A497" s="960"/>
      <c r="B497" s="137"/>
      <c r="C497" s="53">
        <f t="shared" si="85"/>
        <v>1</v>
      </c>
      <c r="D497" s="958"/>
      <c r="E497" s="53">
        <f t="shared" si="86"/>
        <v>1</v>
      </c>
      <c r="F497" s="958"/>
      <c r="G497" s="53">
        <f t="shared" si="87"/>
        <v>1</v>
      </c>
      <c r="H497" s="958"/>
      <c r="I497" s="53">
        <f t="shared" si="88"/>
        <v>1</v>
      </c>
      <c r="J497" s="958"/>
      <c r="K497" s="53">
        <f t="shared" si="89"/>
        <v>1</v>
      </c>
      <c r="L497" s="958"/>
      <c r="M497" s="53">
        <f t="shared" si="90"/>
        <v>1</v>
      </c>
      <c r="N497" s="958"/>
      <c r="O497" s="53">
        <f t="shared" si="91"/>
        <v>1</v>
      </c>
      <c r="P497" s="958"/>
      <c r="Q497" s="53">
        <f t="shared" si="92"/>
        <v>1</v>
      </c>
      <c r="R497" s="488">
        <f t="shared" si="93"/>
        <v>0</v>
      </c>
      <c r="S497" s="795">
        <f t="shared" si="84"/>
        <v>0</v>
      </c>
    </row>
    <row r="498" spans="1:19">
      <c r="A498" s="960"/>
      <c r="B498" s="137"/>
      <c r="C498" s="53">
        <f t="shared" si="85"/>
        <v>1</v>
      </c>
      <c r="D498" s="958"/>
      <c r="E498" s="53">
        <f t="shared" si="86"/>
        <v>1</v>
      </c>
      <c r="F498" s="958"/>
      <c r="G498" s="53">
        <f t="shared" si="87"/>
        <v>1</v>
      </c>
      <c r="H498" s="958"/>
      <c r="I498" s="53">
        <f t="shared" si="88"/>
        <v>1</v>
      </c>
      <c r="J498" s="958"/>
      <c r="K498" s="53">
        <f t="shared" si="89"/>
        <v>1</v>
      </c>
      <c r="L498" s="958"/>
      <c r="M498" s="53">
        <f t="shared" si="90"/>
        <v>1</v>
      </c>
      <c r="N498" s="958"/>
      <c r="O498" s="53">
        <f t="shared" si="91"/>
        <v>1</v>
      </c>
      <c r="P498" s="958"/>
      <c r="Q498" s="53">
        <f t="shared" si="92"/>
        <v>1</v>
      </c>
      <c r="R498" s="488">
        <f t="shared" si="93"/>
        <v>0</v>
      </c>
      <c r="S498" s="795">
        <f t="shared" ref="S498:S524" si="94">ROUND(R498*B498/10000,0)</f>
        <v>0</v>
      </c>
    </row>
    <row r="499" spans="1:19">
      <c r="A499" s="960"/>
      <c r="B499" s="137"/>
      <c r="C499" s="53">
        <f t="shared" si="85"/>
        <v>1</v>
      </c>
      <c r="D499" s="958"/>
      <c r="E499" s="53">
        <f t="shared" si="86"/>
        <v>1</v>
      </c>
      <c r="F499" s="958"/>
      <c r="G499" s="53">
        <f t="shared" si="87"/>
        <v>1</v>
      </c>
      <c r="H499" s="958"/>
      <c r="I499" s="53">
        <f t="shared" si="88"/>
        <v>1</v>
      </c>
      <c r="J499" s="958"/>
      <c r="K499" s="53">
        <f t="shared" si="89"/>
        <v>1</v>
      </c>
      <c r="L499" s="958"/>
      <c r="M499" s="53">
        <f t="shared" si="90"/>
        <v>1</v>
      </c>
      <c r="N499" s="958"/>
      <c r="O499" s="53">
        <f t="shared" si="91"/>
        <v>1</v>
      </c>
      <c r="P499" s="958"/>
      <c r="Q499" s="53">
        <f t="shared" si="92"/>
        <v>1</v>
      </c>
      <c r="R499" s="488">
        <f t="shared" si="93"/>
        <v>0</v>
      </c>
      <c r="S499" s="795">
        <f t="shared" si="94"/>
        <v>0</v>
      </c>
    </row>
    <row r="500" spans="1:19">
      <c r="A500" s="960"/>
      <c r="B500" s="137"/>
      <c r="C500" s="53">
        <f t="shared" si="85"/>
        <v>1</v>
      </c>
      <c r="D500" s="958"/>
      <c r="E500" s="53">
        <f t="shared" si="86"/>
        <v>1</v>
      </c>
      <c r="F500" s="958"/>
      <c r="G500" s="53">
        <f t="shared" si="87"/>
        <v>1</v>
      </c>
      <c r="H500" s="958"/>
      <c r="I500" s="53">
        <f t="shared" si="88"/>
        <v>1</v>
      </c>
      <c r="J500" s="958"/>
      <c r="K500" s="53">
        <f t="shared" si="89"/>
        <v>1</v>
      </c>
      <c r="L500" s="958"/>
      <c r="M500" s="53">
        <f t="shared" si="90"/>
        <v>1</v>
      </c>
      <c r="N500" s="958"/>
      <c r="O500" s="53">
        <f t="shared" si="91"/>
        <v>1</v>
      </c>
      <c r="P500" s="958"/>
      <c r="Q500" s="53">
        <f t="shared" si="92"/>
        <v>1</v>
      </c>
      <c r="R500" s="488">
        <f t="shared" si="93"/>
        <v>0</v>
      </c>
      <c r="S500" s="795">
        <f t="shared" si="94"/>
        <v>0</v>
      </c>
    </row>
    <row r="501" spans="1:19">
      <c r="A501" s="960"/>
      <c r="B501" s="137"/>
      <c r="C501" s="53">
        <f t="shared" si="85"/>
        <v>1</v>
      </c>
      <c r="D501" s="958"/>
      <c r="E501" s="53">
        <f t="shared" si="86"/>
        <v>1</v>
      </c>
      <c r="F501" s="958"/>
      <c r="G501" s="53">
        <f t="shared" si="87"/>
        <v>1</v>
      </c>
      <c r="H501" s="958"/>
      <c r="I501" s="53">
        <f t="shared" si="88"/>
        <v>1</v>
      </c>
      <c r="J501" s="958"/>
      <c r="K501" s="53">
        <f t="shared" si="89"/>
        <v>1</v>
      </c>
      <c r="L501" s="958"/>
      <c r="M501" s="53">
        <f t="shared" si="90"/>
        <v>1</v>
      </c>
      <c r="N501" s="958"/>
      <c r="O501" s="53">
        <f t="shared" si="91"/>
        <v>1</v>
      </c>
      <c r="P501" s="958"/>
      <c r="Q501" s="53">
        <f t="shared" si="92"/>
        <v>1</v>
      </c>
      <c r="R501" s="488">
        <f t="shared" si="93"/>
        <v>0</v>
      </c>
      <c r="S501" s="795">
        <f t="shared" si="94"/>
        <v>0</v>
      </c>
    </row>
    <row r="502" spans="1:19">
      <c r="A502" s="960"/>
      <c r="B502" s="137"/>
      <c r="C502" s="53">
        <f t="shared" si="85"/>
        <v>1</v>
      </c>
      <c r="D502" s="958"/>
      <c r="E502" s="53">
        <f t="shared" si="86"/>
        <v>1</v>
      </c>
      <c r="F502" s="958"/>
      <c r="G502" s="53">
        <f t="shared" si="87"/>
        <v>1</v>
      </c>
      <c r="H502" s="958"/>
      <c r="I502" s="53">
        <f t="shared" si="88"/>
        <v>1</v>
      </c>
      <c r="J502" s="958"/>
      <c r="K502" s="53">
        <f t="shared" si="89"/>
        <v>1</v>
      </c>
      <c r="L502" s="958"/>
      <c r="M502" s="53">
        <f t="shared" si="90"/>
        <v>1</v>
      </c>
      <c r="N502" s="958"/>
      <c r="O502" s="53">
        <f t="shared" si="91"/>
        <v>1</v>
      </c>
      <c r="P502" s="958"/>
      <c r="Q502" s="53">
        <f t="shared" si="92"/>
        <v>1</v>
      </c>
      <c r="R502" s="488">
        <f t="shared" si="93"/>
        <v>0</v>
      </c>
      <c r="S502" s="795">
        <f t="shared" si="94"/>
        <v>0</v>
      </c>
    </row>
    <row r="503" spans="1:19">
      <c r="A503" s="960"/>
      <c r="B503" s="137"/>
      <c r="C503" s="53">
        <f t="shared" si="85"/>
        <v>1</v>
      </c>
      <c r="D503" s="958"/>
      <c r="E503" s="53">
        <f t="shared" si="86"/>
        <v>1</v>
      </c>
      <c r="F503" s="958"/>
      <c r="G503" s="53">
        <f t="shared" si="87"/>
        <v>1</v>
      </c>
      <c r="H503" s="958"/>
      <c r="I503" s="53">
        <f t="shared" si="88"/>
        <v>1</v>
      </c>
      <c r="J503" s="958"/>
      <c r="K503" s="53">
        <f t="shared" si="89"/>
        <v>1</v>
      </c>
      <c r="L503" s="958"/>
      <c r="M503" s="53">
        <f t="shared" si="90"/>
        <v>1</v>
      </c>
      <c r="N503" s="958"/>
      <c r="O503" s="53">
        <f t="shared" si="91"/>
        <v>1</v>
      </c>
      <c r="P503" s="958"/>
      <c r="Q503" s="53">
        <f t="shared" si="92"/>
        <v>1</v>
      </c>
      <c r="R503" s="488">
        <f t="shared" si="93"/>
        <v>0</v>
      </c>
      <c r="S503" s="795">
        <f t="shared" si="94"/>
        <v>0</v>
      </c>
    </row>
    <row r="504" spans="1:19">
      <c r="A504" s="960"/>
      <c r="B504" s="137"/>
      <c r="C504" s="53">
        <f t="shared" si="85"/>
        <v>1</v>
      </c>
      <c r="D504" s="958"/>
      <c r="E504" s="53">
        <f t="shared" si="86"/>
        <v>1</v>
      </c>
      <c r="F504" s="958"/>
      <c r="G504" s="53">
        <f t="shared" si="87"/>
        <v>1</v>
      </c>
      <c r="H504" s="958"/>
      <c r="I504" s="53">
        <f t="shared" si="88"/>
        <v>1</v>
      </c>
      <c r="J504" s="958"/>
      <c r="K504" s="53">
        <f t="shared" si="89"/>
        <v>1</v>
      </c>
      <c r="L504" s="958"/>
      <c r="M504" s="53">
        <f t="shared" si="90"/>
        <v>1</v>
      </c>
      <c r="N504" s="958"/>
      <c r="O504" s="53">
        <f t="shared" si="91"/>
        <v>1</v>
      </c>
      <c r="P504" s="958"/>
      <c r="Q504" s="53">
        <f t="shared" si="92"/>
        <v>1</v>
      </c>
      <c r="R504" s="488">
        <f t="shared" si="93"/>
        <v>0</v>
      </c>
      <c r="S504" s="795">
        <f t="shared" si="94"/>
        <v>0</v>
      </c>
    </row>
    <row r="505" spans="1:19">
      <c r="A505" s="960"/>
      <c r="B505" s="137"/>
      <c r="C505" s="53">
        <f t="shared" si="85"/>
        <v>1</v>
      </c>
      <c r="D505" s="958"/>
      <c r="E505" s="53">
        <f t="shared" si="86"/>
        <v>1</v>
      </c>
      <c r="F505" s="958"/>
      <c r="G505" s="53">
        <f t="shared" si="87"/>
        <v>1</v>
      </c>
      <c r="H505" s="958"/>
      <c r="I505" s="53">
        <f t="shared" si="88"/>
        <v>1</v>
      </c>
      <c r="J505" s="958"/>
      <c r="K505" s="53">
        <f t="shared" si="89"/>
        <v>1</v>
      </c>
      <c r="L505" s="958"/>
      <c r="M505" s="53">
        <f t="shared" si="90"/>
        <v>1</v>
      </c>
      <c r="N505" s="958"/>
      <c r="O505" s="53">
        <f t="shared" si="91"/>
        <v>1</v>
      </c>
      <c r="P505" s="958"/>
      <c r="Q505" s="53">
        <f t="shared" si="92"/>
        <v>1</v>
      </c>
      <c r="R505" s="488">
        <f t="shared" si="93"/>
        <v>0</v>
      </c>
      <c r="S505" s="795">
        <f t="shared" si="94"/>
        <v>0</v>
      </c>
    </row>
    <row r="506" spans="1:19">
      <c r="A506" s="960"/>
      <c r="B506" s="137"/>
      <c r="C506" s="53">
        <f t="shared" si="85"/>
        <v>1</v>
      </c>
      <c r="D506" s="958"/>
      <c r="E506" s="53">
        <f t="shared" si="86"/>
        <v>1</v>
      </c>
      <c r="F506" s="958"/>
      <c r="G506" s="53">
        <f t="shared" si="87"/>
        <v>1</v>
      </c>
      <c r="H506" s="958"/>
      <c r="I506" s="53">
        <f t="shared" si="88"/>
        <v>1</v>
      </c>
      <c r="J506" s="958"/>
      <c r="K506" s="53">
        <f t="shared" si="89"/>
        <v>1</v>
      </c>
      <c r="L506" s="958"/>
      <c r="M506" s="53">
        <f t="shared" si="90"/>
        <v>1</v>
      </c>
      <c r="N506" s="958"/>
      <c r="O506" s="53">
        <f t="shared" si="91"/>
        <v>1</v>
      </c>
      <c r="P506" s="958"/>
      <c r="Q506" s="53">
        <f t="shared" si="92"/>
        <v>1</v>
      </c>
      <c r="R506" s="488">
        <f t="shared" si="93"/>
        <v>0</v>
      </c>
      <c r="S506" s="795">
        <f t="shared" si="94"/>
        <v>0</v>
      </c>
    </row>
    <row r="507" spans="1:19">
      <c r="A507" s="960"/>
      <c r="B507" s="137"/>
      <c r="C507" s="53">
        <f t="shared" si="85"/>
        <v>1</v>
      </c>
      <c r="D507" s="958"/>
      <c r="E507" s="53">
        <f t="shared" si="86"/>
        <v>1</v>
      </c>
      <c r="F507" s="958"/>
      <c r="G507" s="53">
        <f t="shared" si="87"/>
        <v>1</v>
      </c>
      <c r="H507" s="958"/>
      <c r="I507" s="53">
        <f t="shared" si="88"/>
        <v>1</v>
      </c>
      <c r="J507" s="958"/>
      <c r="K507" s="53">
        <f t="shared" si="89"/>
        <v>1</v>
      </c>
      <c r="L507" s="958"/>
      <c r="M507" s="53">
        <f t="shared" si="90"/>
        <v>1</v>
      </c>
      <c r="N507" s="958"/>
      <c r="O507" s="53">
        <f t="shared" si="91"/>
        <v>1</v>
      </c>
      <c r="P507" s="958"/>
      <c r="Q507" s="53">
        <f t="shared" si="92"/>
        <v>1</v>
      </c>
      <c r="R507" s="488">
        <f t="shared" si="93"/>
        <v>0</v>
      </c>
      <c r="S507" s="795">
        <f t="shared" si="94"/>
        <v>0</v>
      </c>
    </row>
    <row r="508" spans="1:19">
      <c r="A508" s="960"/>
      <c r="B508" s="137"/>
      <c r="C508" s="53">
        <f t="shared" si="85"/>
        <v>1</v>
      </c>
      <c r="D508" s="958"/>
      <c r="E508" s="53">
        <f t="shared" si="86"/>
        <v>1</v>
      </c>
      <c r="F508" s="958"/>
      <c r="G508" s="53">
        <f t="shared" si="87"/>
        <v>1</v>
      </c>
      <c r="H508" s="958"/>
      <c r="I508" s="53">
        <f t="shared" si="88"/>
        <v>1</v>
      </c>
      <c r="J508" s="958"/>
      <c r="K508" s="53">
        <f t="shared" si="89"/>
        <v>1</v>
      </c>
      <c r="L508" s="958"/>
      <c r="M508" s="53">
        <f t="shared" si="90"/>
        <v>1</v>
      </c>
      <c r="N508" s="958"/>
      <c r="O508" s="53">
        <f t="shared" si="91"/>
        <v>1</v>
      </c>
      <c r="P508" s="958"/>
      <c r="Q508" s="53">
        <f t="shared" si="92"/>
        <v>1</v>
      </c>
      <c r="R508" s="488">
        <f t="shared" si="93"/>
        <v>0</v>
      </c>
      <c r="S508" s="795">
        <f t="shared" si="94"/>
        <v>0</v>
      </c>
    </row>
    <row r="509" spans="1:19">
      <c r="A509" s="960"/>
      <c r="B509" s="137"/>
      <c r="C509" s="53">
        <f t="shared" si="85"/>
        <v>1</v>
      </c>
      <c r="D509" s="958"/>
      <c r="E509" s="53">
        <f t="shared" si="86"/>
        <v>1</v>
      </c>
      <c r="F509" s="958"/>
      <c r="G509" s="53">
        <f t="shared" si="87"/>
        <v>1</v>
      </c>
      <c r="H509" s="958"/>
      <c r="I509" s="53">
        <f t="shared" si="88"/>
        <v>1</v>
      </c>
      <c r="J509" s="958"/>
      <c r="K509" s="53">
        <f t="shared" si="89"/>
        <v>1</v>
      </c>
      <c r="L509" s="958"/>
      <c r="M509" s="53">
        <f t="shared" si="90"/>
        <v>1</v>
      </c>
      <c r="N509" s="958"/>
      <c r="O509" s="53">
        <f t="shared" si="91"/>
        <v>1</v>
      </c>
      <c r="P509" s="958"/>
      <c r="Q509" s="53">
        <f t="shared" si="92"/>
        <v>1</v>
      </c>
      <c r="R509" s="488">
        <f t="shared" si="93"/>
        <v>0</v>
      </c>
      <c r="S509" s="795">
        <f t="shared" si="94"/>
        <v>0</v>
      </c>
    </row>
    <row r="510" spans="1:19">
      <c r="A510" s="960"/>
      <c r="B510" s="137"/>
      <c r="C510" s="53">
        <f t="shared" si="85"/>
        <v>1</v>
      </c>
      <c r="D510" s="958"/>
      <c r="E510" s="53">
        <f t="shared" si="86"/>
        <v>1</v>
      </c>
      <c r="F510" s="958"/>
      <c r="G510" s="53">
        <f t="shared" si="87"/>
        <v>1</v>
      </c>
      <c r="H510" s="958"/>
      <c r="I510" s="53">
        <f t="shared" si="88"/>
        <v>1</v>
      </c>
      <c r="J510" s="958"/>
      <c r="K510" s="53">
        <f t="shared" si="89"/>
        <v>1</v>
      </c>
      <c r="L510" s="958"/>
      <c r="M510" s="53">
        <f t="shared" si="90"/>
        <v>1</v>
      </c>
      <c r="N510" s="958"/>
      <c r="O510" s="53">
        <f t="shared" si="91"/>
        <v>1</v>
      </c>
      <c r="P510" s="958"/>
      <c r="Q510" s="53">
        <f t="shared" si="92"/>
        <v>1</v>
      </c>
      <c r="R510" s="488">
        <f t="shared" si="93"/>
        <v>0</v>
      </c>
      <c r="S510" s="795">
        <f t="shared" si="94"/>
        <v>0</v>
      </c>
    </row>
    <row r="511" spans="1:19">
      <c r="A511" s="960"/>
      <c r="B511" s="137"/>
      <c r="C511" s="53">
        <f t="shared" si="85"/>
        <v>1</v>
      </c>
      <c r="D511" s="958"/>
      <c r="E511" s="53">
        <f t="shared" si="86"/>
        <v>1</v>
      </c>
      <c r="F511" s="958"/>
      <c r="G511" s="53">
        <f t="shared" si="87"/>
        <v>1</v>
      </c>
      <c r="H511" s="958"/>
      <c r="I511" s="53">
        <f t="shared" si="88"/>
        <v>1</v>
      </c>
      <c r="J511" s="958"/>
      <c r="K511" s="53">
        <f t="shared" si="89"/>
        <v>1</v>
      </c>
      <c r="L511" s="958"/>
      <c r="M511" s="53">
        <f t="shared" si="90"/>
        <v>1</v>
      </c>
      <c r="N511" s="958"/>
      <c r="O511" s="53">
        <f t="shared" si="91"/>
        <v>1</v>
      </c>
      <c r="P511" s="958"/>
      <c r="Q511" s="53">
        <f t="shared" si="92"/>
        <v>1</v>
      </c>
      <c r="R511" s="488">
        <f t="shared" si="93"/>
        <v>0</v>
      </c>
      <c r="S511" s="795">
        <f t="shared" si="94"/>
        <v>0</v>
      </c>
    </row>
    <row r="512" spans="1:19">
      <c r="A512" s="960"/>
      <c r="B512" s="137"/>
      <c r="C512" s="53">
        <f t="shared" si="85"/>
        <v>1</v>
      </c>
      <c r="D512" s="958"/>
      <c r="E512" s="53">
        <f t="shared" si="86"/>
        <v>1</v>
      </c>
      <c r="F512" s="958"/>
      <c r="G512" s="53">
        <f t="shared" si="87"/>
        <v>1</v>
      </c>
      <c r="H512" s="958"/>
      <c r="I512" s="53">
        <f t="shared" si="88"/>
        <v>1</v>
      </c>
      <c r="J512" s="958"/>
      <c r="K512" s="53">
        <f t="shared" si="89"/>
        <v>1</v>
      </c>
      <c r="L512" s="958"/>
      <c r="M512" s="53">
        <f t="shared" si="90"/>
        <v>1</v>
      </c>
      <c r="N512" s="958"/>
      <c r="O512" s="53">
        <f t="shared" si="91"/>
        <v>1</v>
      </c>
      <c r="P512" s="958"/>
      <c r="Q512" s="53">
        <f t="shared" si="92"/>
        <v>1</v>
      </c>
      <c r="R512" s="488">
        <f t="shared" si="93"/>
        <v>0</v>
      </c>
      <c r="S512" s="795">
        <f t="shared" si="94"/>
        <v>0</v>
      </c>
    </row>
    <row r="513" spans="1:19">
      <c r="A513" s="960"/>
      <c r="B513" s="137"/>
      <c r="C513" s="53">
        <f t="shared" si="85"/>
        <v>1</v>
      </c>
      <c r="D513" s="958"/>
      <c r="E513" s="53">
        <f t="shared" si="86"/>
        <v>1</v>
      </c>
      <c r="F513" s="958"/>
      <c r="G513" s="53">
        <f t="shared" si="87"/>
        <v>1</v>
      </c>
      <c r="H513" s="958"/>
      <c r="I513" s="53">
        <f t="shared" si="88"/>
        <v>1</v>
      </c>
      <c r="J513" s="958"/>
      <c r="K513" s="53">
        <f t="shared" si="89"/>
        <v>1</v>
      </c>
      <c r="L513" s="958"/>
      <c r="M513" s="53">
        <f t="shared" si="90"/>
        <v>1</v>
      </c>
      <c r="N513" s="958"/>
      <c r="O513" s="53">
        <f t="shared" si="91"/>
        <v>1</v>
      </c>
      <c r="P513" s="958"/>
      <c r="Q513" s="53">
        <f t="shared" si="92"/>
        <v>1</v>
      </c>
      <c r="R513" s="488">
        <f t="shared" si="93"/>
        <v>0</v>
      </c>
      <c r="S513" s="795">
        <f t="shared" si="94"/>
        <v>0</v>
      </c>
    </row>
    <row r="514" spans="1:19">
      <c r="A514" s="960"/>
      <c r="B514" s="137"/>
      <c r="C514" s="53">
        <f t="shared" si="85"/>
        <v>1</v>
      </c>
      <c r="D514" s="958"/>
      <c r="E514" s="53">
        <f t="shared" si="86"/>
        <v>1</v>
      </c>
      <c r="F514" s="958"/>
      <c r="G514" s="53">
        <f t="shared" si="87"/>
        <v>1</v>
      </c>
      <c r="H514" s="958"/>
      <c r="I514" s="53">
        <f t="shared" si="88"/>
        <v>1</v>
      </c>
      <c r="J514" s="958"/>
      <c r="K514" s="53">
        <f t="shared" si="89"/>
        <v>1</v>
      </c>
      <c r="L514" s="958"/>
      <c r="M514" s="53">
        <f t="shared" si="90"/>
        <v>1</v>
      </c>
      <c r="N514" s="958"/>
      <c r="O514" s="53">
        <f t="shared" si="91"/>
        <v>1</v>
      </c>
      <c r="P514" s="958"/>
      <c r="Q514" s="53">
        <f t="shared" si="92"/>
        <v>1</v>
      </c>
      <c r="R514" s="488">
        <f t="shared" si="93"/>
        <v>0</v>
      </c>
      <c r="S514" s="795">
        <f t="shared" si="94"/>
        <v>0</v>
      </c>
    </row>
    <row r="515" spans="1:19">
      <c r="A515" s="960"/>
      <c r="B515" s="137"/>
      <c r="C515" s="53">
        <f t="shared" si="85"/>
        <v>1</v>
      </c>
      <c r="D515" s="958"/>
      <c r="E515" s="53">
        <f t="shared" si="86"/>
        <v>1</v>
      </c>
      <c r="F515" s="958"/>
      <c r="G515" s="53">
        <f t="shared" si="87"/>
        <v>1</v>
      </c>
      <c r="H515" s="958"/>
      <c r="I515" s="53">
        <f t="shared" si="88"/>
        <v>1</v>
      </c>
      <c r="J515" s="958"/>
      <c r="K515" s="53">
        <f t="shared" si="89"/>
        <v>1</v>
      </c>
      <c r="L515" s="958"/>
      <c r="M515" s="53">
        <f t="shared" si="90"/>
        <v>1</v>
      </c>
      <c r="N515" s="958"/>
      <c r="O515" s="53">
        <f t="shared" si="91"/>
        <v>1</v>
      </c>
      <c r="P515" s="958"/>
      <c r="Q515" s="53">
        <f t="shared" si="92"/>
        <v>1</v>
      </c>
      <c r="R515" s="488">
        <f t="shared" si="93"/>
        <v>0</v>
      </c>
      <c r="S515" s="795">
        <f t="shared" si="94"/>
        <v>0</v>
      </c>
    </row>
    <row r="516" spans="1:19">
      <c r="A516" s="960"/>
      <c r="B516" s="137"/>
      <c r="C516" s="53">
        <f t="shared" si="85"/>
        <v>1</v>
      </c>
      <c r="D516" s="958"/>
      <c r="E516" s="53">
        <f t="shared" si="86"/>
        <v>1</v>
      </c>
      <c r="F516" s="958"/>
      <c r="G516" s="53">
        <f t="shared" si="87"/>
        <v>1</v>
      </c>
      <c r="H516" s="958"/>
      <c r="I516" s="53">
        <f t="shared" si="88"/>
        <v>1</v>
      </c>
      <c r="J516" s="958"/>
      <c r="K516" s="53">
        <f t="shared" si="89"/>
        <v>1</v>
      </c>
      <c r="L516" s="958"/>
      <c r="M516" s="53">
        <f t="shared" si="90"/>
        <v>1</v>
      </c>
      <c r="N516" s="958"/>
      <c r="O516" s="53">
        <f t="shared" si="91"/>
        <v>1</v>
      </c>
      <c r="P516" s="958"/>
      <c r="Q516" s="53">
        <f t="shared" si="92"/>
        <v>1</v>
      </c>
      <c r="R516" s="488">
        <f t="shared" si="93"/>
        <v>0</v>
      </c>
      <c r="S516" s="795">
        <f t="shared" si="94"/>
        <v>0</v>
      </c>
    </row>
    <row r="517" spans="1:19">
      <c r="A517" s="960"/>
      <c r="B517" s="137"/>
      <c r="C517" s="53">
        <f t="shared" si="85"/>
        <v>1</v>
      </c>
      <c r="D517" s="958"/>
      <c r="E517" s="53">
        <f t="shared" si="86"/>
        <v>1</v>
      </c>
      <c r="F517" s="958"/>
      <c r="G517" s="53">
        <f t="shared" si="87"/>
        <v>1</v>
      </c>
      <c r="H517" s="958"/>
      <c r="I517" s="53">
        <f t="shared" si="88"/>
        <v>1</v>
      </c>
      <c r="J517" s="958"/>
      <c r="K517" s="53">
        <f t="shared" si="89"/>
        <v>1</v>
      </c>
      <c r="L517" s="958"/>
      <c r="M517" s="53">
        <f t="shared" si="90"/>
        <v>1</v>
      </c>
      <c r="N517" s="958"/>
      <c r="O517" s="53">
        <f t="shared" si="91"/>
        <v>1</v>
      </c>
      <c r="P517" s="958"/>
      <c r="Q517" s="53">
        <f t="shared" si="92"/>
        <v>1</v>
      </c>
      <c r="R517" s="488">
        <f t="shared" si="93"/>
        <v>0</v>
      </c>
      <c r="S517" s="795">
        <f t="shared" si="94"/>
        <v>0</v>
      </c>
    </row>
    <row r="518" spans="1:19">
      <c r="A518" s="960"/>
      <c r="B518" s="137"/>
      <c r="C518" s="53">
        <f t="shared" si="85"/>
        <v>1</v>
      </c>
      <c r="D518" s="958"/>
      <c r="E518" s="53">
        <f t="shared" si="86"/>
        <v>1</v>
      </c>
      <c r="F518" s="958"/>
      <c r="G518" s="53">
        <f t="shared" si="87"/>
        <v>1</v>
      </c>
      <c r="H518" s="958"/>
      <c r="I518" s="53">
        <f t="shared" si="88"/>
        <v>1</v>
      </c>
      <c r="J518" s="958"/>
      <c r="K518" s="53">
        <f t="shared" si="89"/>
        <v>1</v>
      </c>
      <c r="L518" s="958"/>
      <c r="M518" s="53">
        <f t="shared" si="90"/>
        <v>1</v>
      </c>
      <c r="N518" s="958"/>
      <c r="O518" s="53">
        <f t="shared" si="91"/>
        <v>1</v>
      </c>
      <c r="P518" s="958"/>
      <c r="Q518" s="53">
        <f t="shared" si="92"/>
        <v>1</v>
      </c>
      <c r="R518" s="488">
        <f t="shared" si="93"/>
        <v>0</v>
      </c>
      <c r="S518" s="795">
        <f t="shared" si="94"/>
        <v>0</v>
      </c>
    </row>
    <row r="519" spans="1:19">
      <c r="A519" s="960"/>
      <c r="B519" s="137"/>
      <c r="C519" s="53">
        <f t="shared" si="85"/>
        <v>1</v>
      </c>
      <c r="D519" s="958"/>
      <c r="E519" s="53">
        <f t="shared" si="86"/>
        <v>1</v>
      </c>
      <c r="F519" s="958"/>
      <c r="G519" s="53">
        <f t="shared" si="87"/>
        <v>1</v>
      </c>
      <c r="H519" s="958"/>
      <c r="I519" s="53">
        <f t="shared" si="88"/>
        <v>1</v>
      </c>
      <c r="J519" s="958"/>
      <c r="K519" s="53">
        <f t="shared" si="89"/>
        <v>1</v>
      </c>
      <c r="L519" s="958"/>
      <c r="M519" s="53">
        <f t="shared" si="90"/>
        <v>1</v>
      </c>
      <c r="N519" s="958"/>
      <c r="O519" s="53">
        <f t="shared" si="91"/>
        <v>1</v>
      </c>
      <c r="P519" s="958"/>
      <c r="Q519" s="53">
        <f t="shared" si="92"/>
        <v>1</v>
      </c>
      <c r="R519" s="488">
        <f t="shared" si="93"/>
        <v>0</v>
      </c>
      <c r="S519" s="795">
        <f t="shared" si="94"/>
        <v>0</v>
      </c>
    </row>
    <row r="520" spans="1:19">
      <c r="A520" s="960"/>
      <c r="B520" s="137"/>
      <c r="C520" s="53">
        <f t="shared" si="85"/>
        <v>1</v>
      </c>
      <c r="D520" s="958"/>
      <c r="E520" s="53">
        <f t="shared" si="86"/>
        <v>1</v>
      </c>
      <c r="F520" s="958"/>
      <c r="G520" s="53">
        <f t="shared" si="87"/>
        <v>1</v>
      </c>
      <c r="H520" s="958"/>
      <c r="I520" s="53">
        <f t="shared" si="88"/>
        <v>1</v>
      </c>
      <c r="J520" s="958"/>
      <c r="K520" s="53">
        <f t="shared" si="89"/>
        <v>1</v>
      </c>
      <c r="L520" s="958"/>
      <c r="M520" s="53">
        <f t="shared" si="90"/>
        <v>1</v>
      </c>
      <c r="N520" s="958"/>
      <c r="O520" s="53">
        <f t="shared" si="91"/>
        <v>1</v>
      </c>
      <c r="P520" s="958"/>
      <c r="Q520" s="53">
        <f t="shared" si="92"/>
        <v>1</v>
      </c>
      <c r="R520" s="488">
        <f t="shared" si="93"/>
        <v>0</v>
      </c>
      <c r="S520" s="795">
        <f t="shared" si="94"/>
        <v>0</v>
      </c>
    </row>
    <row r="521" spans="1:19">
      <c r="A521" s="960"/>
      <c r="B521" s="137"/>
      <c r="C521" s="53">
        <f t="shared" si="85"/>
        <v>1</v>
      </c>
      <c r="D521" s="958"/>
      <c r="E521" s="53">
        <f t="shared" si="86"/>
        <v>1</v>
      </c>
      <c r="F521" s="958"/>
      <c r="G521" s="53">
        <f t="shared" si="87"/>
        <v>1</v>
      </c>
      <c r="H521" s="958"/>
      <c r="I521" s="53">
        <f t="shared" si="88"/>
        <v>1</v>
      </c>
      <c r="J521" s="958"/>
      <c r="K521" s="53">
        <f t="shared" si="89"/>
        <v>1</v>
      </c>
      <c r="L521" s="958"/>
      <c r="M521" s="53">
        <f t="shared" si="90"/>
        <v>1</v>
      </c>
      <c r="N521" s="958"/>
      <c r="O521" s="53">
        <f t="shared" si="91"/>
        <v>1</v>
      </c>
      <c r="P521" s="958"/>
      <c r="Q521" s="53">
        <f t="shared" si="92"/>
        <v>1</v>
      </c>
      <c r="R521" s="488">
        <f t="shared" si="93"/>
        <v>0</v>
      </c>
      <c r="S521" s="795">
        <f t="shared" si="94"/>
        <v>0</v>
      </c>
    </row>
    <row r="522" spans="1:19">
      <c r="A522" s="960"/>
      <c r="B522" s="137"/>
      <c r="C522" s="53">
        <f t="shared" si="85"/>
        <v>1</v>
      </c>
      <c r="D522" s="958"/>
      <c r="E522" s="53">
        <f t="shared" si="86"/>
        <v>1</v>
      </c>
      <c r="F522" s="958"/>
      <c r="G522" s="53">
        <f t="shared" si="87"/>
        <v>1</v>
      </c>
      <c r="H522" s="958"/>
      <c r="I522" s="53">
        <f t="shared" si="88"/>
        <v>1</v>
      </c>
      <c r="J522" s="958"/>
      <c r="K522" s="53">
        <f t="shared" si="89"/>
        <v>1</v>
      </c>
      <c r="L522" s="958"/>
      <c r="M522" s="53">
        <f t="shared" si="90"/>
        <v>1</v>
      </c>
      <c r="N522" s="958"/>
      <c r="O522" s="53">
        <f t="shared" si="91"/>
        <v>1</v>
      </c>
      <c r="P522" s="958"/>
      <c r="Q522" s="53">
        <f t="shared" si="92"/>
        <v>1</v>
      </c>
      <c r="R522" s="488">
        <f t="shared" si="93"/>
        <v>0</v>
      </c>
      <c r="S522" s="795">
        <f t="shared" si="94"/>
        <v>0</v>
      </c>
    </row>
    <row r="523" spans="1:19">
      <c r="A523" s="960"/>
      <c r="B523" s="137"/>
      <c r="C523" s="53">
        <f t="shared" si="85"/>
        <v>1</v>
      </c>
      <c r="D523" s="958"/>
      <c r="E523" s="53">
        <f t="shared" si="86"/>
        <v>1</v>
      </c>
      <c r="F523" s="958"/>
      <c r="G523" s="53">
        <f t="shared" si="87"/>
        <v>1</v>
      </c>
      <c r="H523" s="958"/>
      <c r="I523" s="53">
        <f t="shared" si="88"/>
        <v>1</v>
      </c>
      <c r="J523" s="958"/>
      <c r="K523" s="53">
        <f t="shared" si="89"/>
        <v>1</v>
      </c>
      <c r="L523" s="958"/>
      <c r="M523" s="53">
        <f t="shared" si="90"/>
        <v>1</v>
      </c>
      <c r="N523" s="958"/>
      <c r="O523" s="53">
        <f t="shared" si="91"/>
        <v>1</v>
      </c>
      <c r="P523" s="958"/>
      <c r="Q523" s="53">
        <f t="shared" si="92"/>
        <v>1</v>
      </c>
      <c r="R523" s="488">
        <f t="shared" si="93"/>
        <v>0</v>
      </c>
      <c r="S523" s="795">
        <f t="shared" si="94"/>
        <v>0</v>
      </c>
    </row>
    <row r="524" spans="1:19">
      <c r="A524" s="960"/>
      <c r="B524" s="137"/>
      <c r="C524" s="53">
        <f t="shared" si="85"/>
        <v>1</v>
      </c>
      <c r="D524" s="958"/>
      <c r="E524" s="53">
        <f t="shared" si="86"/>
        <v>1</v>
      </c>
      <c r="F524" s="958"/>
      <c r="G524" s="53">
        <f t="shared" si="87"/>
        <v>1</v>
      </c>
      <c r="H524" s="958"/>
      <c r="I524" s="53">
        <f t="shared" si="88"/>
        <v>1</v>
      </c>
      <c r="J524" s="958"/>
      <c r="K524" s="53">
        <f t="shared" si="89"/>
        <v>1</v>
      </c>
      <c r="L524" s="958"/>
      <c r="M524" s="53">
        <f t="shared" si="90"/>
        <v>1</v>
      </c>
      <c r="N524" s="958"/>
      <c r="O524" s="53">
        <f t="shared" si="91"/>
        <v>1</v>
      </c>
      <c r="P524" s="958"/>
      <c r="Q524" s="53">
        <f t="shared" si="92"/>
        <v>1</v>
      </c>
      <c r="R524" s="488">
        <f t="shared" si="93"/>
        <v>0</v>
      </c>
      <c r="S524" s="795">
        <f t="shared" si="94"/>
        <v>0</v>
      </c>
    </row>
    <row r="525" spans="1:19">
      <c r="A525" s="252"/>
      <c r="B525" s="57"/>
      <c r="C525" s="57"/>
      <c r="D525" s="57"/>
      <c r="E525" s="57"/>
      <c r="F525" s="57"/>
      <c r="G525" s="57"/>
      <c r="H525" s="57"/>
      <c r="I525" s="57"/>
      <c r="J525" s="57"/>
      <c r="K525" s="57"/>
      <c r="L525" s="57"/>
      <c r="M525" s="57"/>
      <c r="N525" s="57"/>
      <c r="O525" s="57"/>
      <c r="P525" s="57"/>
      <c r="Q525" s="57"/>
      <c r="R525" s="2221"/>
      <c r="S525" s="252"/>
    </row>
    <row r="526" spans="1:19">
      <c r="A526" s="252"/>
      <c r="B526" s="57"/>
      <c r="C526" s="57"/>
      <c r="D526" s="57"/>
      <c r="E526" s="57"/>
      <c r="F526" s="57"/>
      <c r="G526" s="57"/>
      <c r="H526" s="57"/>
      <c r="I526" s="57"/>
      <c r="J526" s="57"/>
      <c r="K526" s="57"/>
      <c r="L526" s="57"/>
      <c r="M526" s="57"/>
      <c r="N526" s="57"/>
      <c r="O526" s="57"/>
      <c r="P526" s="57"/>
      <c r="Q526" s="57"/>
      <c r="R526" s="2221"/>
      <c r="S526" s="252"/>
    </row>
    <row r="527" spans="1:19">
      <c r="A527" s="252"/>
      <c r="B527" s="57"/>
      <c r="C527" s="57"/>
      <c r="D527" s="57"/>
      <c r="E527" s="57"/>
      <c r="F527" s="57"/>
      <c r="G527" s="57"/>
      <c r="H527" s="57"/>
      <c r="I527" s="57"/>
      <c r="J527" s="57"/>
      <c r="K527" s="57"/>
      <c r="L527" s="57"/>
      <c r="M527" s="57"/>
      <c r="N527" s="57"/>
      <c r="O527" s="57"/>
      <c r="P527" s="57"/>
      <c r="Q527" s="57"/>
      <c r="R527" s="2221"/>
      <c r="S527" s="252"/>
    </row>
    <row r="528" spans="1:19">
      <c r="A528" s="252"/>
      <c r="B528" s="57"/>
      <c r="C528" s="57"/>
      <c r="D528" s="57"/>
      <c r="E528" s="57"/>
      <c r="F528" s="57"/>
      <c r="G528" s="57"/>
      <c r="H528" s="57"/>
      <c r="I528" s="57"/>
      <c r="J528" s="57"/>
      <c r="K528" s="57"/>
      <c r="L528" s="57"/>
      <c r="M528" s="57"/>
      <c r="N528" s="57"/>
      <c r="O528" s="57"/>
      <c r="P528" s="57"/>
      <c r="Q528" s="57"/>
      <c r="R528" s="2221"/>
      <c r="S528" s="252"/>
    </row>
    <row r="529" spans="1:19">
      <c r="A529" s="252"/>
      <c r="B529" s="57"/>
      <c r="C529" s="57"/>
      <c r="D529" s="57"/>
      <c r="E529" s="57"/>
      <c r="F529" s="57"/>
      <c r="G529" s="57"/>
      <c r="H529" s="57"/>
      <c r="I529" s="57"/>
      <c r="J529" s="57"/>
      <c r="K529" s="57"/>
      <c r="L529" s="57"/>
      <c r="M529" s="57"/>
      <c r="N529" s="57"/>
      <c r="O529" s="57"/>
      <c r="P529" s="57"/>
      <c r="Q529" s="57"/>
      <c r="R529" s="2221"/>
      <c r="S529" s="252"/>
    </row>
    <row r="530" spans="1:19">
      <c r="A530" s="252"/>
      <c r="B530" s="57"/>
      <c r="C530" s="57"/>
      <c r="D530" s="57"/>
      <c r="E530" s="57"/>
      <c r="F530" s="57"/>
      <c r="G530" s="57"/>
      <c r="H530" s="57"/>
      <c r="I530" s="57"/>
      <c r="J530" s="57"/>
      <c r="K530" s="57"/>
      <c r="L530" s="57"/>
      <c r="M530" s="57"/>
      <c r="N530" s="57"/>
      <c r="O530" s="57"/>
      <c r="P530" s="57"/>
      <c r="Q530" s="57"/>
      <c r="R530" s="2221"/>
      <c r="S530" s="252"/>
    </row>
    <row r="531" spans="1:19">
      <c r="A531" s="252"/>
      <c r="B531" s="57"/>
      <c r="C531" s="57"/>
      <c r="D531" s="57"/>
      <c r="E531" s="57"/>
      <c r="F531" s="57"/>
      <c r="G531" s="57"/>
      <c r="H531" s="57"/>
      <c r="I531" s="57"/>
      <c r="J531" s="57"/>
      <c r="K531" s="57"/>
      <c r="L531" s="57"/>
      <c r="M531" s="57"/>
      <c r="N531" s="57"/>
      <c r="O531" s="57"/>
      <c r="P531" s="57"/>
      <c r="Q531" s="57"/>
      <c r="R531" s="2221"/>
      <c r="S531" s="252"/>
    </row>
    <row r="532" spans="1:19">
      <c r="A532" s="252"/>
      <c r="B532" s="57"/>
      <c r="C532" s="57"/>
      <c r="D532" s="57"/>
      <c r="E532" s="57"/>
      <c r="F532" s="57"/>
      <c r="G532" s="57"/>
      <c r="H532" s="57"/>
      <c r="I532" s="57"/>
      <c r="J532" s="57"/>
      <c r="K532" s="57"/>
      <c r="L532" s="57"/>
      <c r="M532" s="57"/>
      <c r="N532" s="57"/>
      <c r="O532" s="57"/>
      <c r="P532" s="57"/>
      <c r="Q532" s="57"/>
      <c r="R532" s="2221"/>
      <c r="S532" s="252"/>
    </row>
    <row r="533" spans="1:19">
      <c r="A533" s="252"/>
      <c r="B533" s="57"/>
      <c r="C533" s="57"/>
      <c r="D533" s="57"/>
      <c r="E533" s="57"/>
      <c r="F533" s="57"/>
      <c r="G533" s="57"/>
      <c r="H533" s="57"/>
      <c r="I533" s="57"/>
      <c r="J533" s="57"/>
      <c r="K533" s="57"/>
      <c r="L533" s="57"/>
      <c r="M533" s="57"/>
      <c r="N533" s="57"/>
      <c r="O533" s="57"/>
      <c r="P533" s="57"/>
      <c r="Q533" s="57"/>
      <c r="R533" s="2221"/>
      <c r="S533" s="252"/>
    </row>
    <row r="534" spans="1:19">
      <c r="A534" s="252"/>
      <c r="B534" s="57"/>
      <c r="C534" s="57"/>
      <c r="D534" s="57"/>
      <c r="E534" s="57"/>
      <c r="F534" s="57"/>
      <c r="G534" s="57"/>
      <c r="H534" s="57"/>
      <c r="I534" s="57"/>
      <c r="J534" s="57"/>
      <c r="K534" s="57"/>
      <c r="L534" s="57"/>
      <c r="M534" s="57"/>
      <c r="N534" s="57"/>
      <c r="O534" s="57"/>
      <c r="P534" s="57"/>
      <c r="Q534" s="57"/>
      <c r="R534" s="2221"/>
      <c r="S534" s="252"/>
    </row>
    <row r="535" spans="1:19">
      <c r="A535" s="252"/>
      <c r="B535" s="57"/>
      <c r="C535" s="57"/>
      <c r="D535" s="57"/>
      <c r="E535" s="57"/>
      <c r="F535" s="57"/>
      <c r="G535" s="57"/>
      <c r="H535" s="57"/>
      <c r="I535" s="57"/>
      <c r="J535" s="57"/>
      <c r="K535" s="57"/>
      <c r="L535" s="57"/>
      <c r="M535" s="57"/>
      <c r="N535" s="57"/>
      <c r="O535" s="57"/>
      <c r="P535" s="57"/>
      <c r="Q535" s="57"/>
      <c r="R535" s="2221"/>
      <c r="S535" s="252"/>
    </row>
    <row r="536" spans="1:19">
      <c r="A536" s="252"/>
      <c r="B536" s="57"/>
      <c r="C536" s="57"/>
      <c r="D536" s="57"/>
      <c r="E536" s="57"/>
      <c r="F536" s="57"/>
      <c r="G536" s="57"/>
      <c r="H536" s="57"/>
      <c r="I536" s="57"/>
      <c r="J536" s="57"/>
      <c r="K536" s="57"/>
      <c r="L536" s="57"/>
      <c r="M536" s="57"/>
      <c r="N536" s="57"/>
      <c r="O536" s="57"/>
      <c r="P536" s="57"/>
      <c r="Q536" s="57"/>
      <c r="R536" s="2221"/>
      <c r="S536" s="252"/>
    </row>
    <row r="537" spans="1:19">
      <c r="A537" s="252"/>
      <c r="B537" s="57"/>
      <c r="C537" s="57"/>
      <c r="D537" s="57"/>
      <c r="E537" s="57"/>
      <c r="F537" s="57"/>
      <c r="G537" s="57"/>
      <c r="H537" s="57"/>
      <c r="I537" s="57"/>
      <c r="J537" s="57"/>
      <c r="K537" s="57"/>
      <c r="L537" s="57"/>
      <c r="M537" s="57"/>
      <c r="N537" s="57"/>
      <c r="O537" s="57"/>
      <c r="P537" s="57"/>
      <c r="Q537" s="57"/>
      <c r="R537" s="2221"/>
      <c r="S537" s="252"/>
    </row>
    <row r="538" spans="1:19">
      <c r="A538" s="252"/>
      <c r="B538" s="57"/>
      <c r="C538" s="57"/>
      <c r="D538" s="57"/>
      <c r="E538" s="57"/>
      <c r="F538" s="57"/>
      <c r="G538" s="57"/>
      <c r="H538" s="57"/>
      <c r="I538" s="57"/>
      <c r="J538" s="57"/>
      <c r="K538" s="57"/>
      <c r="L538" s="57"/>
      <c r="M538" s="57"/>
      <c r="N538" s="57"/>
      <c r="O538" s="57"/>
      <c r="P538" s="57"/>
      <c r="Q538" s="57"/>
      <c r="R538" s="2221"/>
      <c r="S538" s="252"/>
    </row>
    <row r="539" spans="1:19">
      <c r="A539" s="252"/>
      <c r="B539" s="57"/>
      <c r="C539" s="57"/>
      <c r="D539" s="57"/>
      <c r="E539" s="57"/>
      <c r="F539" s="57"/>
      <c r="G539" s="57"/>
      <c r="H539" s="57"/>
      <c r="I539" s="57"/>
      <c r="J539" s="57"/>
      <c r="K539" s="57"/>
      <c r="L539" s="57"/>
      <c r="M539" s="57"/>
      <c r="N539" s="57"/>
      <c r="O539" s="57"/>
      <c r="P539" s="57"/>
      <c r="Q539" s="57"/>
      <c r="R539" s="2221"/>
      <c r="S539" s="252"/>
    </row>
    <row r="540" spans="1:19">
      <c r="A540" s="252"/>
      <c r="B540" s="57"/>
      <c r="C540" s="57"/>
      <c r="D540" s="57"/>
      <c r="E540" s="57"/>
      <c r="F540" s="57"/>
      <c r="G540" s="57"/>
      <c r="H540" s="57"/>
      <c r="I540" s="57"/>
      <c r="J540" s="57"/>
      <c r="K540" s="57"/>
      <c r="L540" s="57"/>
      <c r="M540" s="57"/>
      <c r="N540" s="57"/>
      <c r="O540" s="57"/>
      <c r="P540" s="57"/>
      <c r="Q540" s="57"/>
      <c r="R540" s="2221"/>
      <c r="S540" s="252"/>
    </row>
    <row r="541" spans="1:19">
      <c r="A541" s="252"/>
      <c r="B541" s="57"/>
      <c r="C541" s="57"/>
      <c r="D541" s="57"/>
      <c r="E541" s="57"/>
      <c r="F541" s="57"/>
      <c r="G541" s="57"/>
      <c r="H541" s="57"/>
      <c r="I541" s="57"/>
      <c r="J541" s="57"/>
      <c r="K541" s="57"/>
      <c r="L541" s="57"/>
      <c r="M541" s="57"/>
      <c r="N541" s="57"/>
      <c r="O541" s="57"/>
      <c r="P541" s="57"/>
      <c r="Q541" s="57"/>
      <c r="R541" s="2221"/>
      <c r="S541" s="252"/>
    </row>
    <row r="542" spans="1:19">
      <c r="A542" s="252"/>
      <c r="B542" s="57"/>
      <c r="C542" s="57"/>
      <c r="D542" s="57"/>
      <c r="E542" s="57"/>
      <c r="F542" s="57"/>
      <c r="G542" s="57"/>
      <c r="H542" s="57"/>
      <c r="I542" s="57"/>
      <c r="J542" s="57"/>
      <c r="K542" s="57"/>
      <c r="L542" s="57"/>
      <c r="M542" s="57"/>
      <c r="N542" s="57"/>
      <c r="O542" s="57"/>
      <c r="P542" s="57"/>
      <c r="Q542" s="57"/>
      <c r="R542" s="2221"/>
      <c r="S542" s="252"/>
    </row>
    <row r="543" spans="1:19">
      <c r="A543" s="252"/>
      <c r="B543" s="57"/>
      <c r="C543" s="57"/>
      <c r="D543" s="57"/>
      <c r="E543" s="57"/>
      <c r="F543" s="57"/>
      <c r="G543" s="57"/>
      <c r="H543" s="57"/>
      <c r="I543" s="57"/>
      <c r="J543" s="57"/>
      <c r="K543" s="57"/>
      <c r="L543" s="57"/>
      <c r="M543" s="57"/>
      <c r="N543" s="57"/>
      <c r="O543" s="57"/>
      <c r="P543" s="57"/>
      <c r="Q543" s="57"/>
      <c r="R543" s="2221"/>
      <c r="S543" s="252"/>
    </row>
    <row r="544" spans="1:19">
      <c r="A544" s="252"/>
      <c r="B544" s="57"/>
      <c r="C544" s="57"/>
      <c r="D544" s="57"/>
      <c r="E544" s="57"/>
      <c r="F544" s="57"/>
      <c r="G544" s="57"/>
      <c r="H544" s="57"/>
      <c r="I544" s="57"/>
      <c r="J544" s="57"/>
      <c r="K544" s="57"/>
      <c r="L544" s="57"/>
      <c r="M544" s="57"/>
      <c r="N544" s="57"/>
      <c r="O544" s="57"/>
      <c r="P544" s="57"/>
      <c r="Q544" s="57"/>
      <c r="R544" s="2221"/>
      <c r="S544" s="252"/>
    </row>
    <row r="545" spans="1:19">
      <c r="A545" s="252"/>
      <c r="B545" s="57"/>
      <c r="C545" s="57"/>
      <c r="D545" s="57"/>
      <c r="E545" s="57"/>
      <c r="F545" s="57"/>
      <c r="G545" s="57"/>
      <c r="H545" s="57"/>
      <c r="I545" s="57"/>
      <c r="J545" s="57"/>
      <c r="K545" s="57"/>
      <c r="L545" s="57"/>
      <c r="M545" s="57"/>
      <c r="N545" s="57"/>
      <c r="O545" s="57"/>
      <c r="P545" s="57"/>
      <c r="Q545" s="57"/>
      <c r="R545" s="2221"/>
      <c r="S545" s="252"/>
    </row>
    <row r="546" spans="1:19">
      <c r="A546" s="252"/>
      <c r="B546" s="57"/>
      <c r="C546" s="57"/>
      <c r="D546" s="57"/>
      <c r="E546" s="57"/>
      <c r="F546" s="57"/>
      <c r="G546" s="57"/>
      <c r="H546" s="57"/>
      <c r="I546" s="57"/>
      <c r="J546" s="57"/>
      <c r="K546" s="57"/>
      <c r="L546" s="57"/>
      <c r="M546" s="57"/>
      <c r="N546" s="57"/>
      <c r="O546" s="57"/>
      <c r="P546" s="57"/>
      <c r="Q546" s="57"/>
      <c r="R546" s="2221"/>
      <c r="S546" s="252"/>
    </row>
    <row r="547" spans="1:19">
      <c r="A547" s="252"/>
      <c r="B547" s="57"/>
      <c r="C547" s="57"/>
      <c r="D547" s="57"/>
      <c r="E547" s="57"/>
      <c r="F547" s="57"/>
      <c r="G547" s="57"/>
      <c r="H547" s="57"/>
      <c r="I547" s="57"/>
      <c r="J547" s="57"/>
      <c r="K547" s="57"/>
      <c r="L547" s="57"/>
      <c r="M547" s="57"/>
      <c r="N547" s="57"/>
      <c r="O547" s="57"/>
      <c r="P547" s="57"/>
      <c r="Q547" s="57"/>
      <c r="R547" s="2221"/>
      <c r="S547" s="252"/>
    </row>
    <row r="548" spans="1:19">
      <c r="A548" s="252"/>
      <c r="B548" s="57"/>
      <c r="C548" s="57"/>
      <c r="D548" s="57"/>
      <c r="E548" s="57"/>
      <c r="F548" s="57"/>
      <c r="G548" s="57"/>
      <c r="H548" s="57"/>
      <c r="I548" s="57"/>
      <c r="J548" s="57"/>
      <c r="K548" s="57"/>
      <c r="L548" s="57"/>
      <c r="M548" s="57"/>
      <c r="N548" s="57"/>
      <c r="O548" s="57"/>
      <c r="P548" s="57"/>
      <c r="Q548" s="57"/>
      <c r="R548" s="2221"/>
      <c r="S548" s="252"/>
    </row>
    <row r="549" spans="1:19">
      <c r="A549" s="252"/>
      <c r="B549" s="57"/>
      <c r="C549" s="57"/>
      <c r="D549" s="57"/>
      <c r="E549" s="57"/>
      <c r="F549" s="57"/>
      <c r="G549" s="57"/>
      <c r="H549" s="57"/>
      <c r="I549" s="57"/>
      <c r="J549" s="57"/>
      <c r="K549" s="57"/>
      <c r="L549" s="57"/>
      <c r="M549" s="57"/>
      <c r="N549" s="57"/>
      <c r="O549" s="57"/>
      <c r="P549" s="57"/>
      <c r="Q549" s="57"/>
      <c r="R549" s="2221"/>
      <c r="S549" s="252"/>
    </row>
    <row r="550" spans="1:19">
      <c r="A550" s="252"/>
      <c r="B550" s="57"/>
      <c r="C550" s="57"/>
      <c r="D550" s="57"/>
      <c r="E550" s="57"/>
      <c r="F550" s="57"/>
      <c r="G550" s="57"/>
      <c r="H550" s="57"/>
      <c r="I550" s="57"/>
      <c r="J550" s="57"/>
      <c r="K550" s="57"/>
      <c r="L550" s="57"/>
      <c r="M550" s="57"/>
      <c r="N550" s="57"/>
      <c r="O550" s="57"/>
      <c r="P550" s="57"/>
      <c r="Q550" s="57"/>
      <c r="R550" s="2221"/>
      <c r="S550" s="252"/>
    </row>
    <row r="551" spans="1:19">
      <c r="A551" s="252"/>
      <c r="B551" s="57"/>
      <c r="C551" s="57"/>
      <c r="D551" s="57"/>
      <c r="E551" s="57"/>
      <c r="F551" s="57"/>
      <c r="G551" s="57"/>
      <c r="H551" s="57"/>
      <c r="I551" s="57"/>
      <c r="J551" s="57"/>
      <c r="K551" s="57"/>
      <c r="L551" s="57"/>
      <c r="M551" s="57"/>
      <c r="N551" s="57"/>
      <c r="O551" s="57"/>
      <c r="P551" s="57"/>
      <c r="Q551" s="57"/>
      <c r="R551" s="2221"/>
      <c r="S551" s="252"/>
    </row>
    <row r="552" spans="1:19">
      <c r="A552" s="252"/>
      <c r="B552" s="57"/>
      <c r="C552" s="57"/>
      <c r="D552" s="57"/>
      <c r="E552" s="57"/>
      <c r="F552" s="57"/>
      <c r="G552" s="57"/>
      <c r="H552" s="57"/>
      <c r="I552" s="57"/>
      <c r="J552" s="57"/>
      <c r="K552" s="57"/>
      <c r="L552" s="57"/>
      <c r="M552" s="57"/>
      <c r="N552" s="57"/>
      <c r="O552" s="57"/>
      <c r="P552" s="57"/>
      <c r="Q552" s="57"/>
      <c r="R552" s="2221"/>
      <c r="S552" s="252"/>
    </row>
    <row r="553" spans="1:19">
      <c r="A553" s="252"/>
      <c r="B553" s="57"/>
      <c r="C553" s="57"/>
      <c r="D553" s="57"/>
      <c r="E553" s="57"/>
      <c r="F553" s="57"/>
      <c r="G553" s="57"/>
      <c r="H553" s="57"/>
      <c r="I553" s="57"/>
      <c r="J553" s="57"/>
      <c r="K553" s="57"/>
      <c r="L553" s="57"/>
      <c r="M553" s="57"/>
      <c r="N553" s="57"/>
      <c r="O553" s="57"/>
      <c r="P553" s="57"/>
      <c r="Q553" s="57"/>
      <c r="R553" s="2221"/>
      <c r="S553" s="252"/>
    </row>
    <row r="554" spans="1:19">
      <c r="A554" s="252"/>
      <c r="B554" s="57"/>
      <c r="C554" s="57"/>
      <c r="D554" s="57"/>
      <c r="E554" s="57"/>
      <c r="F554" s="57"/>
      <c r="G554" s="57"/>
      <c r="H554" s="57"/>
      <c r="I554" s="57"/>
      <c r="J554" s="57"/>
      <c r="K554" s="57"/>
      <c r="L554" s="57"/>
      <c r="M554" s="57"/>
      <c r="N554" s="57"/>
      <c r="O554" s="57"/>
      <c r="P554" s="57"/>
      <c r="Q554" s="57"/>
      <c r="R554" s="2221"/>
      <c r="S554" s="252"/>
    </row>
    <row r="555" spans="1:19">
      <c r="A555" s="252"/>
      <c r="B555" s="57"/>
      <c r="C555" s="57"/>
      <c r="D555" s="57"/>
      <c r="E555" s="57"/>
      <c r="F555" s="57"/>
      <c r="G555" s="57"/>
      <c r="H555" s="57"/>
      <c r="I555" s="57"/>
      <c r="J555" s="57"/>
      <c r="K555" s="57"/>
      <c r="L555" s="57"/>
      <c r="M555" s="57"/>
      <c r="N555" s="57"/>
      <c r="O555" s="57"/>
      <c r="P555" s="57"/>
      <c r="Q555" s="57"/>
      <c r="R555" s="2221"/>
      <c r="S555" s="252"/>
    </row>
    <row r="556" spans="1:19">
      <c r="A556" s="252"/>
      <c r="B556" s="57"/>
      <c r="C556" s="57"/>
      <c r="D556" s="57"/>
      <c r="E556" s="57"/>
      <c r="F556" s="57"/>
      <c r="G556" s="57"/>
      <c r="H556" s="57"/>
      <c r="I556" s="57"/>
      <c r="J556" s="57"/>
      <c r="K556" s="57"/>
      <c r="L556" s="57"/>
      <c r="M556" s="57"/>
      <c r="N556" s="57"/>
      <c r="O556" s="57"/>
      <c r="P556" s="57"/>
      <c r="Q556" s="57"/>
      <c r="R556" s="2221"/>
      <c r="S556" s="252"/>
    </row>
    <row r="557" spans="1:19">
      <c r="A557" s="252"/>
      <c r="B557" s="57"/>
      <c r="C557" s="57"/>
      <c r="D557" s="57"/>
      <c r="E557" s="57"/>
      <c r="F557" s="57"/>
      <c r="G557" s="57"/>
      <c r="H557" s="57"/>
      <c r="I557" s="57"/>
      <c r="J557" s="57"/>
      <c r="K557" s="57"/>
      <c r="L557" s="57"/>
      <c r="M557" s="57"/>
      <c r="N557" s="57"/>
      <c r="O557" s="57"/>
      <c r="P557" s="57"/>
      <c r="Q557" s="57"/>
      <c r="R557" s="2221"/>
      <c r="S557" s="252"/>
    </row>
    <row r="558" spans="1:19">
      <c r="A558" s="252"/>
      <c r="B558" s="57"/>
      <c r="C558" s="57"/>
      <c r="D558" s="57"/>
      <c r="E558" s="57"/>
      <c r="F558" s="57"/>
      <c r="G558" s="57"/>
      <c r="H558" s="57"/>
      <c r="I558" s="57"/>
      <c r="J558" s="57"/>
      <c r="K558" s="57"/>
      <c r="L558" s="57"/>
      <c r="M558" s="57"/>
      <c r="N558" s="57"/>
      <c r="O558" s="57"/>
      <c r="P558" s="57"/>
      <c r="Q558" s="57"/>
      <c r="R558" s="2221"/>
      <c r="S558" s="252"/>
    </row>
    <row r="559" spans="1:19">
      <c r="A559" s="252"/>
      <c r="B559" s="57"/>
      <c r="C559" s="57"/>
      <c r="D559" s="57"/>
      <c r="E559" s="57"/>
      <c r="F559" s="57"/>
      <c r="G559" s="57"/>
      <c r="H559" s="57"/>
      <c r="I559" s="57"/>
      <c r="J559" s="57"/>
      <c r="K559" s="57"/>
      <c r="L559" s="57"/>
      <c r="M559" s="57"/>
      <c r="N559" s="57"/>
      <c r="O559" s="57"/>
      <c r="P559" s="57"/>
      <c r="Q559" s="57"/>
      <c r="R559" s="2221"/>
      <c r="S559" s="252"/>
    </row>
    <row r="560" spans="1:19">
      <c r="A560" s="252"/>
      <c r="B560" s="57"/>
      <c r="C560" s="57"/>
      <c r="D560" s="57"/>
      <c r="E560" s="57"/>
      <c r="F560" s="57"/>
      <c r="G560" s="57"/>
      <c r="H560" s="57"/>
      <c r="I560" s="57"/>
      <c r="J560" s="57"/>
      <c r="K560" s="57"/>
      <c r="L560" s="57"/>
      <c r="M560" s="57"/>
      <c r="N560" s="57"/>
      <c r="O560" s="57"/>
      <c r="P560" s="57"/>
      <c r="Q560" s="57"/>
      <c r="R560" s="2221"/>
      <c r="S560" s="252"/>
    </row>
    <row r="561" spans="1:19">
      <c r="A561" s="252"/>
      <c r="B561" s="57"/>
      <c r="C561" s="57"/>
      <c r="D561" s="57"/>
      <c r="E561" s="57"/>
      <c r="F561" s="57"/>
      <c r="G561" s="57"/>
      <c r="H561" s="57"/>
      <c r="I561" s="57"/>
      <c r="J561" s="57"/>
      <c r="K561" s="57"/>
      <c r="L561" s="57"/>
      <c r="M561" s="57"/>
      <c r="N561" s="57"/>
      <c r="O561" s="57"/>
      <c r="P561" s="57"/>
      <c r="Q561" s="57"/>
      <c r="R561" s="2221"/>
      <c r="S561" s="252"/>
    </row>
    <row r="562" spans="1:19">
      <c r="A562" s="252"/>
      <c r="B562" s="57"/>
      <c r="C562" s="57"/>
      <c r="D562" s="57"/>
      <c r="E562" s="57"/>
      <c r="F562" s="57"/>
      <c r="G562" s="57"/>
      <c r="H562" s="57"/>
      <c r="I562" s="57"/>
      <c r="J562" s="57"/>
      <c r="K562" s="57"/>
      <c r="L562" s="57"/>
      <c r="M562" s="57"/>
      <c r="N562" s="57"/>
      <c r="O562" s="57"/>
      <c r="P562" s="57"/>
      <c r="Q562" s="57"/>
      <c r="R562" s="2221"/>
      <c r="S562" s="252"/>
    </row>
    <row r="563" spans="1:19">
      <c r="A563" s="252"/>
      <c r="B563" s="57"/>
      <c r="C563" s="57"/>
      <c r="D563" s="57"/>
      <c r="E563" s="57"/>
      <c r="F563" s="57"/>
      <c r="G563" s="57"/>
      <c r="H563" s="57"/>
      <c r="I563" s="57"/>
      <c r="J563" s="57"/>
      <c r="K563" s="57"/>
      <c r="L563" s="57"/>
      <c r="M563" s="57"/>
      <c r="N563" s="57"/>
      <c r="O563" s="57"/>
      <c r="P563" s="57"/>
      <c r="Q563" s="57"/>
      <c r="R563" s="2221"/>
      <c r="S563" s="252"/>
    </row>
    <row r="564" spans="1:19">
      <c r="A564" s="252"/>
      <c r="B564" s="57"/>
      <c r="C564" s="57"/>
      <c r="D564" s="57"/>
      <c r="E564" s="57"/>
      <c r="F564" s="57"/>
      <c r="G564" s="57"/>
      <c r="H564" s="57"/>
      <c r="I564" s="57"/>
      <c r="J564" s="57"/>
      <c r="K564" s="57"/>
      <c r="L564" s="57"/>
      <c r="M564" s="57"/>
      <c r="N564" s="57"/>
      <c r="O564" s="57"/>
      <c r="P564" s="57"/>
      <c r="Q564" s="57"/>
      <c r="R564" s="2221"/>
      <c r="S564" s="252"/>
    </row>
    <row r="565" spans="1:19">
      <c r="A565" s="252"/>
      <c r="B565" s="57"/>
      <c r="C565" s="57"/>
      <c r="D565" s="57"/>
      <c r="E565" s="57"/>
      <c r="F565" s="57"/>
      <c r="G565" s="57"/>
      <c r="H565" s="57"/>
      <c r="I565" s="57"/>
      <c r="J565" s="57"/>
      <c r="K565" s="57"/>
      <c r="L565" s="57"/>
      <c r="M565" s="57"/>
      <c r="N565" s="57"/>
      <c r="O565" s="57"/>
      <c r="P565" s="57"/>
      <c r="Q565" s="57"/>
      <c r="R565" s="2221"/>
      <c r="S565" s="252"/>
    </row>
    <row r="566" spans="1:19">
      <c r="A566" s="252"/>
      <c r="B566" s="57"/>
      <c r="C566" s="57"/>
      <c r="D566" s="57"/>
      <c r="E566" s="57"/>
      <c r="F566" s="57"/>
      <c r="G566" s="57"/>
      <c r="H566" s="57"/>
      <c r="I566" s="57"/>
      <c r="J566" s="57"/>
      <c r="K566" s="57"/>
      <c r="L566" s="57"/>
      <c r="M566" s="57"/>
      <c r="N566" s="57"/>
      <c r="O566" s="57"/>
      <c r="P566" s="57"/>
      <c r="Q566" s="57"/>
      <c r="R566" s="2221"/>
      <c r="S566" s="252"/>
    </row>
    <row r="567" spans="1:19">
      <c r="A567" s="252"/>
      <c r="B567" s="57"/>
      <c r="C567" s="57"/>
      <c r="D567" s="57"/>
      <c r="E567" s="57"/>
      <c r="F567" s="57"/>
      <c r="G567" s="57"/>
      <c r="H567" s="57"/>
      <c r="I567" s="57"/>
      <c r="J567" s="57"/>
      <c r="K567" s="57"/>
      <c r="L567" s="57"/>
      <c r="M567" s="57"/>
      <c r="N567" s="57"/>
      <c r="O567" s="57"/>
      <c r="P567" s="57"/>
      <c r="Q567" s="57"/>
      <c r="R567" s="2221"/>
      <c r="S567" s="252"/>
    </row>
    <row r="568" spans="1:19">
      <c r="A568" s="252"/>
      <c r="B568" s="57"/>
      <c r="C568" s="57"/>
      <c r="D568" s="57"/>
      <c r="E568" s="57"/>
      <c r="F568" s="57"/>
      <c r="G568" s="57"/>
      <c r="H568" s="57"/>
      <c r="I568" s="57"/>
      <c r="J568" s="57"/>
      <c r="K568" s="57"/>
      <c r="L568" s="57"/>
      <c r="M568" s="57"/>
      <c r="N568" s="57"/>
      <c r="O568" s="57"/>
      <c r="P568" s="57"/>
      <c r="Q568" s="57"/>
      <c r="R568" s="2221"/>
      <c r="S568" s="252"/>
    </row>
    <row r="569" spans="1:19">
      <c r="A569" s="252"/>
      <c r="B569" s="57"/>
      <c r="C569" s="57"/>
      <c r="D569" s="57"/>
      <c r="E569" s="57"/>
      <c r="F569" s="57"/>
      <c r="G569" s="57"/>
      <c r="H569" s="57"/>
      <c r="I569" s="57"/>
      <c r="J569" s="57"/>
      <c r="K569" s="57"/>
      <c r="L569" s="57"/>
      <c r="M569" s="57"/>
      <c r="N569" s="57"/>
      <c r="O569" s="57"/>
      <c r="P569" s="57"/>
      <c r="Q569" s="57"/>
      <c r="R569" s="2221"/>
      <c r="S569" s="252"/>
    </row>
    <row r="570" spans="1:19">
      <c r="A570" s="252"/>
      <c r="B570" s="57"/>
      <c r="C570" s="57"/>
      <c r="D570" s="57"/>
      <c r="E570" s="57"/>
      <c r="F570" s="57"/>
      <c r="G570" s="57"/>
      <c r="H570" s="57"/>
      <c r="I570" s="57"/>
      <c r="J570" s="57"/>
      <c r="K570" s="57"/>
      <c r="L570" s="57"/>
      <c r="M570" s="57"/>
      <c r="N570" s="57"/>
      <c r="O570" s="57"/>
      <c r="P570" s="57"/>
      <c r="Q570" s="57"/>
      <c r="R570" s="2221"/>
      <c r="S570" s="252"/>
    </row>
    <row r="571" spans="1:19">
      <c r="A571" s="252"/>
      <c r="B571" s="57"/>
      <c r="C571" s="57"/>
      <c r="D571" s="57"/>
      <c r="E571" s="57"/>
      <c r="F571" s="57"/>
      <c r="G571" s="57"/>
      <c r="H571" s="57"/>
      <c r="I571" s="57"/>
      <c r="J571" s="57"/>
      <c r="K571" s="57"/>
      <c r="L571" s="57"/>
      <c r="M571" s="57"/>
      <c r="N571" s="57"/>
      <c r="O571" s="57"/>
      <c r="P571" s="57"/>
      <c r="Q571" s="57"/>
      <c r="R571" s="2221"/>
      <c r="S571" s="252"/>
    </row>
    <row r="572" spans="1:19">
      <c r="A572" s="252"/>
      <c r="B572" s="57"/>
      <c r="C572" s="57"/>
      <c r="D572" s="57"/>
      <c r="E572" s="57"/>
      <c r="F572" s="57"/>
      <c r="G572" s="57"/>
      <c r="H572" s="57"/>
      <c r="I572" s="57"/>
      <c r="J572" s="57"/>
      <c r="K572" s="57"/>
      <c r="L572" s="57"/>
      <c r="M572" s="57"/>
      <c r="N572" s="57"/>
      <c r="O572" s="57"/>
      <c r="P572" s="57"/>
      <c r="Q572" s="57"/>
      <c r="R572" s="2221"/>
      <c r="S572" s="252"/>
    </row>
    <row r="573" spans="1:19">
      <c r="A573" s="252"/>
      <c r="B573" s="57"/>
      <c r="C573" s="57"/>
      <c r="D573" s="57"/>
      <c r="E573" s="57"/>
      <c r="F573" s="57"/>
      <c r="G573" s="57"/>
      <c r="H573" s="57"/>
      <c r="I573" s="57"/>
      <c r="J573" s="57"/>
      <c r="K573" s="57"/>
      <c r="L573" s="57"/>
      <c r="M573" s="57"/>
      <c r="N573" s="57"/>
      <c r="O573" s="57"/>
      <c r="P573" s="57"/>
      <c r="Q573" s="57"/>
      <c r="R573" s="2221"/>
      <c r="S573" s="252"/>
    </row>
    <row r="574" spans="1:19">
      <c r="A574" s="252"/>
      <c r="B574" s="57"/>
      <c r="C574" s="57"/>
      <c r="D574" s="57"/>
      <c r="E574" s="57"/>
      <c r="F574" s="57"/>
      <c r="G574" s="57"/>
      <c r="H574" s="57"/>
      <c r="I574" s="57"/>
      <c r="J574" s="57"/>
      <c r="K574" s="57"/>
      <c r="L574" s="57"/>
      <c r="M574" s="57"/>
      <c r="N574" s="57"/>
      <c r="O574" s="57"/>
      <c r="P574" s="57"/>
      <c r="Q574" s="57"/>
      <c r="R574" s="2221"/>
      <c r="S574" s="252"/>
    </row>
    <row r="575" spans="1:19">
      <c r="A575" s="252"/>
      <c r="B575" s="57"/>
      <c r="C575" s="57"/>
      <c r="D575" s="57"/>
      <c r="E575" s="57"/>
      <c r="F575" s="57"/>
      <c r="G575" s="57"/>
      <c r="H575" s="57"/>
      <c r="I575" s="57"/>
      <c r="J575" s="57"/>
      <c r="K575" s="57"/>
      <c r="L575" s="57"/>
      <c r="M575" s="57"/>
      <c r="N575" s="57"/>
      <c r="O575" s="57"/>
      <c r="P575" s="57"/>
      <c r="Q575" s="57"/>
      <c r="R575" s="2221"/>
      <c r="S575" s="252"/>
    </row>
    <row r="576" spans="1:19">
      <c r="A576" s="252"/>
      <c r="B576" s="57"/>
      <c r="C576" s="57"/>
      <c r="D576" s="57"/>
      <c r="E576" s="57"/>
      <c r="F576" s="57"/>
      <c r="G576" s="57"/>
      <c r="H576" s="57"/>
      <c r="I576" s="57"/>
      <c r="J576" s="57"/>
      <c r="K576" s="57"/>
      <c r="L576" s="57"/>
      <c r="M576" s="57"/>
      <c r="N576" s="57"/>
      <c r="O576" s="57"/>
      <c r="P576" s="57"/>
      <c r="Q576" s="57"/>
      <c r="R576" s="2221"/>
      <c r="S576" s="252"/>
    </row>
    <row r="577" spans="1:19">
      <c r="A577" s="252"/>
      <c r="B577" s="57"/>
      <c r="C577" s="57"/>
      <c r="D577" s="57"/>
      <c r="E577" s="57"/>
      <c r="F577" s="57"/>
      <c r="G577" s="57"/>
      <c r="H577" s="57"/>
      <c r="I577" s="57"/>
      <c r="J577" s="57"/>
      <c r="K577" s="57"/>
      <c r="L577" s="57"/>
      <c r="M577" s="57"/>
      <c r="N577" s="57"/>
      <c r="O577" s="57"/>
      <c r="P577" s="57"/>
      <c r="Q577" s="57"/>
      <c r="R577" s="2221"/>
      <c r="S577" s="252"/>
    </row>
    <row r="578" spans="1:19">
      <c r="A578" s="252"/>
      <c r="B578" s="57"/>
      <c r="C578" s="57"/>
      <c r="D578" s="57"/>
      <c r="E578" s="57"/>
      <c r="F578" s="57"/>
      <c r="G578" s="57"/>
      <c r="H578" s="57"/>
      <c r="I578" s="57"/>
      <c r="J578" s="57"/>
      <c r="K578" s="57"/>
      <c r="L578" s="57"/>
      <c r="M578" s="57"/>
      <c r="N578" s="57"/>
      <c r="O578" s="57"/>
      <c r="P578" s="57"/>
      <c r="Q578" s="57"/>
      <c r="R578" s="2221"/>
      <c r="S578" s="252"/>
    </row>
    <row r="579" spans="1:19">
      <c r="A579" s="252"/>
      <c r="B579" s="57"/>
      <c r="C579" s="57"/>
      <c r="D579" s="57"/>
      <c r="E579" s="57"/>
      <c r="F579" s="57"/>
      <c r="G579" s="57"/>
      <c r="H579" s="57"/>
      <c r="I579" s="57"/>
      <c r="J579" s="57"/>
      <c r="K579" s="57"/>
      <c r="L579" s="57"/>
      <c r="M579" s="57"/>
      <c r="N579" s="57"/>
      <c r="O579" s="57"/>
      <c r="P579" s="57"/>
      <c r="Q579" s="57"/>
      <c r="R579" s="2221"/>
      <c r="S579" s="252"/>
    </row>
    <row r="580" spans="1:19">
      <c r="A580" s="252"/>
      <c r="B580" s="57"/>
      <c r="C580" s="57"/>
      <c r="D580" s="57"/>
      <c r="E580" s="57"/>
      <c r="F580" s="57"/>
      <c r="G580" s="57"/>
      <c r="H580" s="57"/>
      <c r="I580" s="57"/>
      <c r="J580" s="57"/>
      <c r="K580" s="57"/>
      <c r="L580" s="57"/>
      <c r="M580" s="57"/>
      <c r="N580" s="57"/>
      <c r="O580" s="57"/>
      <c r="P580" s="57"/>
      <c r="Q580" s="57"/>
      <c r="R580" s="2221"/>
      <c r="S580" s="252"/>
    </row>
    <row r="581" spans="1:19">
      <c r="A581" s="252"/>
      <c r="B581" s="57"/>
      <c r="C581" s="57"/>
      <c r="D581" s="57"/>
      <c r="E581" s="57"/>
      <c r="F581" s="57"/>
      <c r="G581" s="57"/>
      <c r="H581" s="57"/>
      <c r="I581" s="57"/>
      <c r="J581" s="57"/>
      <c r="K581" s="57"/>
      <c r="L581" s="57"/>
      <c r="M581" s="57"/>
      <c r="N581" s="57"/>
      <c r="O581" s="57"/>
      <c r="P581" s="57"/>
      <c r="Q581" s="57"/>
      <c r="R581" s="2221"/>
      <c r="S581" s="252"/>
    </row>
    <row r="582" spans="1:19">
      <c r="A582" s="252"/>
      <c r="B582" s="57"/>
      <c r="C582" s="57"/>
      <c r="D582" s="57"/>
      <c r="E582" s="57"/>
      <c r="F582" s="57"/>
      <c r="G582" s="57"/>
      <c r="H582" s="57"/>
      <c r="I582" s="57"/>
      <c r="J582" s="57"/>
      <c r="K582" s="57"/>
      <c r="L582" s="57"/>
      <c r="M582" s="57"/>
      <c r="N582" s="57"/>
      <c r="O582" s="57"/>
      <c r="P582" s="57"/>
      <c r="Q582" s="57"/>
      <c r="R582" s="2221"/>
      <c r="S582" s="252"/>
    </row>
    <row r="583" spans="1:19">
      <c r="A583" s="252"/>
      <c r="B583" s="57"/>
      <c r="C583" s="57"/>
      <c r="D583" s="57"/>
      <c r="E583" s="57"/>
      <c r="F583" s="57"/>
      <c r="G583" s="57"/>
      <c r="H583" s="57"/>
      <c r="I583" s="57"/>
      <c r="J583" s="57"/>
      <c r="K583" s="57"/>
      <c r="L583" s="57"/>
      <c r="M583" s="57"/>
      <c r="N583" s="57"/>
      <c r="O583" s="57"/>
      <c r="P583" s="57"/>
      <c r="Q583" s="57"/>
      <c r="R583" s="2221"/>
      <c r="S583" s="252"/>
    </row>
    <row r="584" spans="1:19">
      <c r="A584" s="252"/>
      <c r="B584" s="57"/>
      <c r="C584" s="57"/>
      <c r="D584" s="57"/>
      <c r="E584" s="57"/>
      <c r="F584" s="57"/>
      <c r="G584" s="57"/>
      <c r="H584" s="57"/>
      <c r="I584" s="57"/>
      <c r="J584" s="57"/>
      <c r="K584" s="57"/>
      <c r="L584" s="57"/>
      <c r="M584" s="57"/>
      <c r="N584" s="57"/>
      <c r="O584" s="57"/>
      <c r="P584" s="57"/>
      <c r="Q584" s="57"/>
      <c r="R584" s="2221"/>
      <c r="S584" s="252"/>
    </row>
    <row r="585" spans="1:19">
      <c r="A585" s="252"/>
      <c r="B585" s="57"/>
      <c r="C585" s="57"/>
      <c r="D585" s="57"/>
      <c r="E585" s="57"/>
      <c r="F585" s="57"/>
      <c r="G585" s="57"/>
      <c r="H585" s="57"/>
      <c r="I585" s="57"/>
      <c r="J585" s="57"/>
      <c r="K585" s="57"/>
      <c r="L585" s="57"/>
      <c r="M585" s="57"/>
      <c r="N585" s="57"/>
      <c r="O585" s="57"/>
      <c r="P585" s="57"/>
      <c r="Q585" s="57"/>
      <c r="R585" s="2221"/>
      <c r="S585" s="252"/>
    </row>
    <row r="586" spans="1:19">
      <c r="A586" s="252"/>
      <c r="B586" s="57"/>
      <c r="C586" s="57"/>
      <c r="D586" s="57"/>
      <c r="E586" s="57"/>
      <c r="F586" s="57"/>
      <c r="G586" s="57"/>
      <c r="H586" s="57"/>
      <c r="I586" s="57"/>
      <c r="J586" s="57"/>
      <c r="K586" s="57"/>
      <c r="L586" s="57"/>
      <c r="M586" s="57"/>
      <c r="N586" s="57"/>
      <c r="O586" s="57"/>
      <c r="P586" s="57"/>
      <c r="Q586" s="57"/>
      <c r="R586" s="2221"/>
      <c r="S586" s="252"/>
    </row>
    <row r="587" spans="1:19">
      <c r="A587" s="252"/>
      <c r="B587" s="57"/>
      <c r="C587" s="57"/>
      <c r="D587" s="57"/>
      <c r="E587" s="57"/>
      <c r="F587" s="57"/>
      <c r="G587" s="57"/>
      <c r="H587" s="57"/>
      <c r="I587" s="57"/>
      <c r="J587" s="57"/>
      <c r="K587" s="57"/>
      <c r="L587" s="57"/>
      <c r="M587" s="57"/>
      <c r="N587" s="57"/>
      <c r="O587" s="57"/>
      <c r="P587" s="57"/>
      <c r="Q587" s="57"/>
      <c r="R587" s="2221"/>
      <c r="S587" s="252"/>
    </row>
    <row r="588" spans="1:19">
      <c r="A588" s="252"/>
      <c r="B588" s="57"/>
      <c r="C588" s="57"/>
      <c r="D588" s="57"/>
      <c r="E588" s="57"/>
      <c r="F588" s="57"/>
      <c r="G588" s="57"/>
      <c r="H588" s="57"/>
      <c r="I588" s="57"/>
      <c r="J588" s="57"/>
      <c r="K588" s="57"/>
      <c r="L588" s="57"/>
      <c r="M588" s="57"/>
      <c r="N588" s="57"/>
      <c r="O588" s="57"/>
      <c r="P588" s="57"/>
      <c r="Q588" s="57"/>
      <c r="R588" s="2221"/>
      <c r="S588" s="252"/>
    </row>
    <row r="589" spans="1:19">
      <c r="A589" s="252"/>
      <c r="B589" s="57"/>
      <c r="C589" s="57"/>
      <c r="D589" s="57"/>
      <c r="E589" s="57"/>
      <c r="F589" s="57"/>
      <c r="G589" s="57"/>
      <c r="H589" s="57"/>
      <c r="I589" s="57"/>
      <c r="J589" s="57"/>
      <c r="K589" s="57"/>
      <c r="L589" s="57"/>
      <c r="M589" s="57"/>
      <c r="N589" s="57"/>
      <c r="O589" s="57"/>
      <c r="P589" s="57"/>
      <c r="Q589" s="57"/>
      <c r="R589" s="2221"/>
      <c r="S589" s="252"/>
    </row>
    <row r="590" spans="1:19">
      <c r="A590" s="252"/>
      <c r="B590" s="57"/>
      <c r="C590" s="57"/>
      <c r="D590" s="57"/>
      <c r="E590" s="57"/>
      <c r="F590" s="57"/>
      <c r="G590" s="57"/>
      <c r="H590" s="57"/>
      <c r="I590" s="57"/>
      <c r="J590" s="57"/>
      <c r="K590" s="57"/>
      <c r="L590" s="57"/>
      <c r="M590" s="57"/>
      <c r="N590" s="57"/>
      <c r="O590" s="57"/>
      <c r="P590" s="57"/>
      <c r="Q590" s="57"/>
      <c r="R590" s="2221"/>
      <c r="S590" s="252"/>
    </row>
    <row r="591" spans="1:19">
      <c r="A591" s="252"/>
      <c r="B591" s="57"/>
      <c r="C591" s="57"/>
      <c r="D591" s="57"/>
      <c r="E591" s="57"/>
      <c r="F591" s="57"/>
      <c r="G591" s="57"/>
      <c r="H591" s="57"/>
      <c r="I591" s="57"/>
      <c r="J591" s="57"/>
      <c r="K591" s="57"/>
      <c r="L591" s="57"/>
      <c r="M591" s="57"/>
      <c r="N591" s="57"/>
      <c r="O591" s="57"/>
      <c r="P591" s="57"/>
      <c r="Q591" s="57"/>
      <c r="R591" s="2221"/>
      <c r="S591" s="252"/>
    </row>
    <row r="592" spans="1:19">
      <c r="A592" s="252"/>
      <c r="B592" s="57"/>
      <c r="C592" s="57"/>
      <c r="D592" s="57"/>
      <c r="E592" s="57"/>
      <c r="F592" s="57"/>
      <c r="G592" s="57"/>
      <c r="H592" s="57"/>
      <c r="I592" s="57"/>
      <c r="J592" s="57"/>
      <c r="K592" s="57"/>
      <c r="L592" s="57"/>
      <c r="M592" s="57"/>
      <c r="N592" s="57"/>
      <c r="O592" s="57"/>
      <c r="P592" s="57"/>
      <c r="Q592" s="57"/>
      <c r="R592" s="2221"/>
      <c r="S592" s="252"/>
    </row>
    <row r="593" spans="1:19">
      <c r="A593" s="252"/>
      <c r="B593" s="57"/>
      <c r="C593" s="57"/>
      <c r="D593" s="57"/>
      <c r="E593" s="57"/>
      <c r="F593" s="57"/>
      <c r="G593" s="57"/>
      <c r="H593" s="57"/>
      <c r="I593" s="57"/>
      <c r="J593" s="57"/>
      <c r="K593" s="57"/>
      <c r="L593" s="57"/>
      <c r="M593" s="57"/>
      <c r="N593" s="57"/>
      <c r="O593" s="57"/>
      <c r="P593" s="57"/>
      <c r="Q593" s="57"/>
      <c r="R593" s="2221"/>
      <c r="S593" s="252"/>
    </row>
    <row r="594" spans="1:19">
      <c r="A594" s="252"/>
      <c r="B594" s="57"/>
      <c r="C594" s="57"/>
      <c r="D594" s="57"/>
      <c r="E594" s="57"/>
      <c r="F594" s="57"/>
      <c r="G594" s="57"/>
      <c r="H594" s="57"/>
      <c r="I594" s="57"/>
      <c r="J594" s="57"/>
      <c r="K594" s="57"/>
      <c r="L594" s="57"/>
      <c r="M594" s="57"/>
      <c r="N594" s="57"/>
      <c r="O594" s="57"/>
      <c r="P594" s="57"/>
      <c r="Q594" s="57"/>
      <c r="R594" s="2221"/>
      <c r="S594" s="252"/>
    </row>
    <row r="595" spans="1:19">
      <c r="A595" s="252"/>
      <c r="B595" s="57"/>
      <c r="C595" s="57"/>
      <c r="D595" s="57"/>
      <c r="E595" s="57"/>
      <c r="F595" s="57"/>
      <c r="G595" s="57"/>
      <c r="H595" s="57"/>
      <c r="I595" s="57"/>
      <c r="J595" s="57"/>
      <c r="K595" s="57"/>
      <c r="L595" s="57"/>
      <c r="M595" s="57"/>
      <c r="N595" s="57"/>
      <c r="O595" s="57"/>
      <c r="P595" s="57"/>
      <c r="Q595" s="57"/>
      <c r="R595" s="2221"/>
      <c r="S595" s="252"/>
    </row>
    <row r="596" spans="1:19">
      <c r="A596" s="252"/>
      <c r="B596" s="57"/>
      <c r="C596" s="57"/>
      <c r="D596" s="57"/>
      <c r="E596" s="57"/>
      <c r="F596" s="57"/>
      <c r="G596" s="57"/>
      <c r="H596" s="57"/>
      <c r="I596" s="57"/>
      <c r="J596" s="57"/>
      <c r="K596" s="57"/>
      <c r="L596" s="57"/>
      <c r="M596" s="57"/>
      <c r="N596" s="57"/>
      <c r="O596" s="57"/>
      <c r="P596" s="57"/>
      <c r="Q596" s="57"/>
      <c r="R596" s="2221"/>
      <c r="S596" s="252"/>
    </row>
    <row r="597" spans="1:19">
      <c r="A597" s="252"/>
      <c r="B597" s="57"/>
      <c r="C597" s="57"/>
      <c r="D597" s="57"/>
      <c r="E597" s="57"/>
      <c r="F597" s="57"/>
      <c r="G597" s="57"/>
      <c r="H597" s="57"/>
      <c r="I597" s="57"/>
      <c r="J597" s="57"/>
      <c r="K597" s="57"/>
      <c r="L597" s="57"/>
      <c r="M597" s="57"/>
      <c r="N597" s="57"/>
      <c r="O597" s="57"/>
      <c r="P597" s="57"/>
      <c r="Q597" s="57"/>
      <c r="R597" s="2221"/>
      <c r="S597" s="252"/>
    </row>
    <row r="598" spans="1:19">
      <c r="A598" s="252"/>
      <c r="B598" s="57"/>
      <c r="C598" s="57"/>
      <c r="D598" s="57"/>
      <c r="E598" s="57"/>
      <c r="F598" s="57"/>
      <c r="G598" s="57"/>
      <c r="H598" s="57"/>
      <c r="I598" s="57"/>
      <c r="J598" s="57"/>
      <c r="K598" s="57"/>
      <c r="L598" s="57"/>
      <c r="M598" s="57"/>
      <c r="N598" s="57"/>
      <c r="O598" s="57"/>
      <c r="P598" s="57"/>
      <c r="Q598" s="57"/>
      <c r="R598" s="2221"/>
      <c r="S598" s="252"/>
    </row>
    <row r="599" spans="1:19">
      <c r="A599" s="252"/>
      <c r="B599" s="57"/>
      <c r="C599" s="57"/>
      <c r="D599" s="57"/>
      <c r="E599" s="57"/>
      <c r="F599" s="57"/>
      <c r="G599" s="57"/>
      <c r="H599" s="57"/>
      <c r="I599" s="57"/>
      <c r="J599" s="57"/>
      <c r="K599" s="57"/>
      <c r="L599" s="57"/>
      <c r="M599" s="57"/>
      <c r="N599" s="57"/>
      <c r="O599" s="57"/>
      <c r="P599" s="57"/>
      <c r="Q599" s="57"/>
      <c r="R599" s="2221"/>
      <c r="S599" s="252"/>
    </row>
    <row r="600" spans="1:19">
      <c r="A600" s="252"/>
      <c r="B600" s="57"/>
      <c r="C600" s="57"/>
      <c r="D600" s="57"/>
      <c r="E600" s="57"/>
      <c r="F600" s="57"/>
      <c r="G600" s="57"/>
      <c r="H600" s="57"/>
      <c r="I600" s="57"/>
      <c r="J600" s="57"/>
      <c r="K600" s="57"/>
      <c r="L600" s="57"/>
      <c r="M600" s="57"/>
      <c r="N600" s="57"/>
      <c r="O600" s="57"/>
      <c r="P600" s="57"/>
      <c r="Q600" s="57"/>
      <c r="R600" s="2221"/>
      <c r="S600" s="252"/>
    </row>
    <row r="601" spans="1:19">
      <c r="A601" s="252"/>
      <c r="B601" s="57"/>
      <c r="C601" s="57"/>
      <c r="D601" s="57"/>
      <c r="E601" s="57"/>
      <c r="F601" s="57"/>
      <c r="G601" s="57"/>
      <c r="H601" s="57"/>
      <c r="I601" s="57"/>
      <c r="J601" s="57"/>
      <c r="K601" s="57"/>
      <c r="L601" s="57"/>
      <c r="M601" s="57"/>
      <c r="N601" s="57"/>
      <c r="O601" s="57"/>
      <c r="P601" s="57"/>
      <c r="Q601" s="57"/>
      <c r="R601" s="2221"/>
      <c r="S601" s="252"/>
    </row>
    <row r="602" spans="1:19">
      <c r="A602" s="252"/>
      <c r="B602" s="57"/>
      <c r="C602" s="57"/>
      <c r="D602" s="57"/>
      <c r="E602" s="57"/>
      <c r="F602" s="57"/>
      <c r="G602" s="57"/>
      <c r="H602" s="57"/>
      <c r="I602" s="57"/>
      <c r="J602" s="57"/>
      <c r="K602" s="57"/>
      <c r="L602" s="57"/>
      <c r="M602" s="57"/>
      <c r="N602" s="57"/>
      <c r="O602" s="57"/>
      <c r="P602" s="57"/>
      <c r="Q602" s="57"/>
      <c r="R602" s="2221"/>
      <c r="S602" s="252"/>
    </row>
    <row r="603" spans="1:19">
      <c r="A603" s="252"/>
      <c r="B603" s="57"/>
      <c r="C603" s="57"/>
      <c r="D603" s="57"/>
      <c r="E603" s="57"/>
      <c r="F603" s="57"/>
      <c r="G603" s="57"/>
      <c r="H603" s="57"/>
      <c r="I603" s="57"/>
      <c r="J603" s="57"/>
      <c r="K603" s="57"/>
      <c r="L603" s="57"/>
      <c r="M603" s="57"/>
      <c r="N603" s="57"/>
      <c r="O603" s="57"/>
      <c r="P603" s="57"/>
      <c r="Q603" s="57"/>
      <c r="R603" s="2221"/>
      <c r="S603" s="252"/>
    </row>
    <row r="604" spans="1:19">
      <c r="A604" s="252"/>
      <c r="B604" s="57"/>
      <c r="C604" s="57"/>
      <c r="D604" s="57"/>
      <c r="E604" s="57"/>
      <c r="F604" s="57"/>
      <c r="G604" s="57"/>
      <c r="H604" s="57"/>
      <c r="I604" s="57"/>
      <c r="J604" s="57"/>
      <c r="K604" s="57"/>
      <c r="L604" s="57"/>
      <c r="M604" s="57"/>
      <c r="N604" s="57"/>
      <c r="O604" s="57"/>
      <c r="P604" s="57"/>
      <c r="Q604" s="57"/>
      <c r="R604" s="2221"/>
      <c r="S604" s="252"/>
    </row>
    <row r="605" spans="1:19">
      <c r="A605" s="252"/>
      <c r="B605" s="57"/>
      <c r="C605" s="57"/>
      <c r="D605" s="57"/>
      <c r="E605" s="57"/>
      <c r="F605" s="57"/>
      <c r="G605" s="57"/>
      <c r="H605" s="57"/>
      <c r="I605" s="57"/>
      <c r="J605" s="57"/>
      <c r="K605" s="57"/>
      <c r="L605" s="57"/>
      <c r="M605" s="57"/>
      <c r="N605" s="57"/>
      <c r="O605" s="57"/>
      <c r="P605" s="57"/>
      <c r="Q605" s="57"/>
      <c r="R605" s="2221"/>
      <c r="S605" s="252"/>
    </row>
    <row r="606" spans="1:19">
      <c r="A606" s="252"/>
      <c r="B606" s="57"/>
      <c r="C606" s="57"/>
      <c r="D606" s="57"/>
      <c r="E606" s="57"/>
      <c r="F606" s="57"/>
      <c r="G606" s="57"/>
      <c r="H606" s="57"/>
      <c r="I606" s="57"/>
      <c r="J606" s="57"/>
      <c r="K606" s="57"/>
      <c r="L606" s="57"/>
      <c r="M606" s="57"/>
      <c r="N606" s="57"/>
      <c r="O606" s="57"/>
      <c r="P606" s="57"/>
      <c r="Q606" s="57"/>
      <c r="R606" s="2221"/>
      <c r="S606" s="252"/>
    </row>
    <row r="607" spans="1:19">
      <c r="A607" s="252"/>
      <c r="B607" s="57"/>
      <c r="C607" s="57"/>
      <c r="D607" s="57"/>
      <c r="E607" s="57"/>
      <c r="F607" s="57"/>
      <c r="G607" s="57"/>
      <c r="H607" s="57"/>
      <c r="I607" s="57"/>
      <c r="J607" s="57"/>
      <c r="K607" s="57"/>
      <c r="L607" s="57"/>
      <c r="M607" s="57"/>
      <c r="N607" s="57"/>
      <c r="O607" s="57"/>
      <c r="P607" s="57"/>
      <c r="Q607" s="57"/>
      <c r="R607" s="2221"/>
      <c r="S607" s="252"/>
    </row>
    <row r="608" spans="1:19">
      <c r="A608" s="252"/>
      <c r="B608" s="57"/>
      <c r="C608" s="57"/>
      <c r="D608" s="57"/>
      <c r="E608" s="57"/>
      <c r="F608" s="57"/>
      <c r="G608" s="57"/>
      <c r="H608" s="57"/>
      <c r="I608" s="57"/>
      <c r="J608" s="57"/>
      <c r="K608" s="57"/>
      <c r="L608" s="57"/>
      <c r="M608" s="57"/>
      <c r="N608" s="57"/>
      <c r="O608" s="57"/>
      <c r="P608" s="57"/>
      <c r="Q608" s="57"/>
      <c r="R608" s="2221"/>
      <c r="S608" s="252"/>
    </row>
    <row r="609" spans="1:19">
      <c r="A609" s="252"/>
      <c r="B609" s="57"/>
      <c r="C609" s="57"/>
      <c r="D609" s="57"/>
      <c r="E609" s="57"/>
      <c r="F609" s="57"/>
      <c r="G609" s="57"/>
      <c r="H609" s="57"/>
      <c r="I609" s="57"/>
      <c r="J609" s="57"/>
      <c r="K609" s="57"/>
      <c r="L609" s="57"/>
      <c r="M609" s="57"/>
      <c r="N609" s="57"/>
      <c r="O609" s="57"/>
      <c r="P609" s="57"/>
      <c r="Q609" s="57"/>
      <c r="R609" s="2221"/>
      <c r="S609" s="252"/>
    </row>
    <row r="610" spans="1:19">
      <c r="A610" s="252"/>
      <c r="B610" s="57"/>
      <c r="C610" s="57"/>
      <c r="D610" s="57"/>
      <c r="E610" s="57"/>
      <c r="F610" s="57"/>
      <c r="G610" s="57"/>
      <c r="H610" s="57"/>
      <c r="I610" s="57"/>
      <c r="J610" s="57"/>
      <c r="K610" s="57"/>
      <c r="L610" s="57"/>
      <c r="M610" s="57"/>
      <c r="N610" s="57"/>
      <c r="O610" s="57"/>
      <c r="P610" s="57"/>
      <c r="Q610" s="57"/>
      <c r="R610" s="2221"/>
      <c r="S610" s="252"/>
    </row>
    <row r="611" spans="1:19">
      <c r="A611" s="252"/>
      <c r="B611" s="57"/>
      <c r="C611" s="57"/>
      <c r="D611" s="57"/>
      <c r="E611" s="57"/>
      <c r="F611" s="57"/>
      <c r="G611" s="57"/>
      <c r="H611" s="57"/>
      <c r="I611" s="57"/>
      <c r="J611" s="57"/>
      <c r="K611" s="57"/>
      <c r="L611" s="57"/>
      <c r="M611" s="57"/>
      <c r="N611" s="57"/>
      <c r="O611" s="57"/>
      <c r="P611" s="57"/>
      <c r="Q611" s="57"/>
      <c r="R611" s="2221"/>
      <c r="S611" s="252"/>
    </row>
    <row r="612" spans="1:19">
      <c r="A612" s="252"/>
      <c r="B612" s="57"/>
      <c r="C612" s="57"/>
      <c r="D612" s="57"/>
      <c r="E612" s="57"/>
      <c r="F612" s="57"/>
      <c r="G612" s="57"/>
      <c r="H612" s="57"/>
      <c r="I612" s="57"/>
      <c r="J612" s="57"/>
      <c r="K612" s="57"/>
      <c r="L612" s="57"/>
      <c r="M612" s="57"/>
      <c r="N612" s="57"/>
      <c r="O612" s="57"/>
      <c r="P612" s="57"/>
      <c r="Q612" s="57"/>
      <c r="R612" s="2221"/>
      <c r="S612" s="252"/>
    </row>
    <row r="613" spans="1:19">
      <c r="A613" s="252"/>
      <c r="B613" s="57"/>
      <c r="C613" s="57"/>
      <c r="D613" s="57"/>
      <c r="E613" s="57"/>
      <c r="F613" s="57"/>
      <c r="G613" s="57"/>
      <c r="H613" s="57"/>
      <c r="I613" s="57"/>
      <c r="J613" s="57"/>
      <c r="K613" s="57"/>
      <c r="L613" s="57"/>
      <c r="M613" s="57"/>
      <c r="N613" s="57"/>
      <c r="O613" s="57"/>
      <c r="P613" s="57"/>
      <c r="Q613" s="57"/>
      <c r="R613" s="2221"/>
      <c r="S613" s="252"/>
    </row>
    <row r="614" spans="1:19">
      <c r="A614" s="252"/>
      <c r="B614" s="57"/>
      <c r="C614" s="57"/>
      <c r="D614" s="57"/>
      <c r="E614" s="57"/>
      <c r="F614" s="57"/>
      <c r="G614" s="57"/>
      <c r="H614" s="57"/>
      <c r="I614" s="57"/>
      <c r="J614" s="57"/>
      <c r="K614" s="57"/>
      <c r="L614" s="57"/>
      <c r="M614" s="57"/>
      <c r="N614" s="57"/>
      <c r="O614" s="57"/>
      <c r="P614" s="57"/>
      <c r="Q614" s="57"/>
      <c r="R614" s="2221"/>
      <c r="S614" s="252"/>
    </row>
    <row r="615" spans="1:19">
      <c r="A615" s="252"/>
      <c r="B615" s="57"/>
      <c r="C615" s="57"/>
      <c r="D615" s="57"/>
      <c r="E615" s="57"/>
      <c r="F615" s="57"/>
      <c r="G615" s="57"/>
      <c r="H615" s="57"/>
      <c r="I615" s="57"/>
      <c r="J615" s="57"/>
      <c r="K615" s="57"/>
      <c r="L615" s="57"/>
      <c r="M615" s="57"/>
      <c r="N615" s="57"/>
      <c r="O615" s="57"/>
      <c r="P615" s="57"/>
      <c r="Q615" s="57"/>
      <c r="R615" s="2221"/>
      <c r="S615" s="252"/>
    </row>
    <row r="616" spans="1:19">
      <c r="A616" s="252"/>
      <c r="B616" s="57"/>
      <c r="C616" s="57"/>
      <c r="D616" s="57"/>
      <c r="E616" s="57"/>
      <c r="F616" s="57"/>
      <c r="G616" s="57"/>
      <c r="H616" s="57"/>
      <c r="I616" s="57"/>
      <c r="J616" s="57"/>
      <c r="K616" s="57"/>
      <c r="L616" s="57"/>
      <c r="M616" s="57"/>
      <c r="N616" s="57"/>
      <c r="O616" s="57"/>
      <c r="P616" s="57"/>
      <c r="Q616" s="57"/>
      <c r="R616" s="2221"/>
      <c r="S616" s="252"/>
    </row>
    <row r="617" spans="1:19">
      <c r="A617" s="252"/>
      <c r="B617" s="57"/>
      <c r="C617" s="57"/>
      <c r="D617" s="57"/>
      <c r="E617" s="57"/>
      <c r="F617" s="57"/>
      <c r="G617" s="57"/>
      <c r="H617" s="57"/>
      <c r="I617" s="57"/>
      <c r="J617" s="57"/>
      <c r="K617" s="57"/>
      <c r="L617" s="57"/>
      <c r="M617" s="57"/>
      <c r="N617" s="57"/>
      <c r="O617" s="57"/>
      <c r="P617" s="57"/>
      <c r="Q617" s="57"/>
      <c r="R617" s="2221"/>
      <c r="S617" s="252"/>
    </row>
    <row r="618" spans="1:19">
      <c r="A618" s="252"/>
      <c r="B618" s="57"/>
      <c r="C618" s="57"/>
      <c r="D618" s="57"/>
      <c r="E618" s="57"/>
      <c r="F618" s="57"/>
      <c r="G618" s="57"/>
      <c r="H618" s="57"/>
      <c r="I618" s="57"/>
      <c r="J618" s="57"/>
      <c r="K618" s="57"/>
      <c r="L618" s="57"/>
      <c r="M618" s="57"/>
      <c r="N618" s="57"/>
      <c r="O618" s="57"/>
      <c r="P618" s="57"/>
      <c r="Q618" s="57"/>
      <c r="R618" s="2221"/>
      <c r="S618" s="252"/>
    </row>
    <row r="619" spans="1:19">
      <c r="A619" s="252"/>
      <c r="B619" s="57"/>
      <c r="C619" s="57"/>
      <c r="D619" s="57"/>
      <c r="E619" s="57"/>
      <c r="F619" s="57"/>
      <c r="G619" s="57"/>
      <c r="H619" s="57"/>
      <c r="I619" s="57"/>
      <c r="J619" s="57"/>
      <c r="K619" s="57"/>
      <c r="L619" s="57"/>
      <c r="M619" s="57"/>
      <c r="N619" s="57"/>
      <c r="O619" s="57"/>
      <c r="P619" s="57"/>
      <c r="Q619" s="57"/>
      <c r="R619" s="2221"/>
      <c r="S619" s="252"/>
    </row>
    <row r="620" spans="1:19">
      <c r="A620" s="252"/>
      <c r="B620" s="57"/>
      <c r="C620" s="57"/>
      <c r="D620" s="57"/>
      <c r="E620" s="57"/>
      <c r="F620" s="57"/>
      <c r="G620" s="57"/>
      <c r="H620" s="57"/>
      <c r="I620" s="57"/>
      <c r="J620" s="57"/>
      <c r="K620" s="57"/>
      <c r="L620" s="57"/>
      <c r="M620" s="57"/>
      <c r="N620" s="57"/>
      <c r="O620" s="57"/>
      <c r="P620" s="57"/>
      <c r="Q620" s="57"/>
      <c r="R620" s="2221"/>
      <c r="S620" s="252"/>
    </row>
    <row r="621" spans="1:19">
      <c r="A621" s="252"/>
      <c r="B621" s="57"/>
      <c r="C621" s="57"/>
      <c r="D621" s="57"/>
      <c r="E621" s="57"/>
      <c r="F621" s="57"/>
      <c r="G621" s="57"/>
      <c r="H621" s="57"/>
      <c r="I621" s="57"/>
      <c r="J621" s="57"/>
      <c r="K621" s="57"/>
      <c r="L621" s="57"/>
      <c r="M621" s="57"/>
      <c r="N621" s="57"/>
      <c r="O621" s="57"/>
      <c r="P621" s="57"/>
      <c r="Q621" s="57"/>
      <c r="R621" s="2221"/>
      <c r="S621" s="252"/>
    </row>
    <row r="622" spans="1:19">
      <c r="A622" s="252"/>
      <c r="B622" s="57"/>
      <c r="C622" s="57"/>
      <c r="D622" s="57"/>
      <c r="E622" s="57"/>
      <c r="F622" s="57"/>
      <c r="G622" s="57"/>
      <c r="H622" s="57"/>
      <c r="I622" s="57"/>
      <c r="J622" s="57"/>
      <c r="K622" s="57"/>
      <c r="L622" s="57"/>
      <c r="M622" s="57"/>
      <c r="N622" s="57"/>
      <c r="O622" s="57"/>
      <c r="P622" s="57"/>
      <c r="Q622" s="57"/>
      <c r="R622" s="2221"/>
      <c r="S622" s="252"/>
    </row>
    <row r="623" spans="1:19">
      <c r="A623" s="252"/>
      <c r="B623" s="57"/>
      <c r="C623" s="57"/>
      <c r="D623" s="57"/>
      <c r="E623" s="57"/>
      <c r="F623" s="57"/>
      <c r="G623" s="57"/>
      <c r="H623" s="57"/>
      <c r="I623" s="57"/>
      <c r="J623" s="57"/>
      <c r="K623" s="57"/>
      <c r="L623" s="57"/>
      <c r="M623" s="57"/>
      <c r="N623" s="57"/>
      <c r="O623" s="57"/>
      <c r="P623" s="57"/>
      <c r="Q623" s="57"/>
      <c r="R623" s="2221"/>
      <c r="S623" s="252"/>
    </row>
    <row r="624" spans="1:19">
      <c r="A624" s="252"/>
      <c r="B624" s="57"/>
      <c r="C624" s="57"/>
      <c r="D624" s="57"/>
      <c r="E624" s="57"/>
      <c r="F624" s="57"/>
      <c r="G624" s="57"/>
      <c r="H624" s="57"/>
      <c r="I624" s="57"/>
      <c r="J624" s="57"/>
      <c r="K624" s="57"/>
      <c r="L624" s="57"/>
      <c r="M624" s="57"/>
      <c r="N624" s="57"/>
      <c r="O624" s="57"/>
      <c r="P624" s="57"/>
      <c r="Q624" s="57"/>
      <c r="R624" s="2221"/>
      <c r="S624" s="252"/>
    </row>
    <row r="625" spans="1:19">
      <c r="A625" s="252"/>
      <c r="B625" s="57"/>
      <c r="C625" s="57"/>
      <c r="D625" s="57"/>
      <c r="E625" s="57"/>
      <c r="F625" s="57"/>
      <c r="G625" s="57"/>
      <c r="H625" s="57"/>
      <c r="I625" s="57"/>
      <c r="J625" s="57"/>
      <c r="K625" s="57"/>
      <c r="L625" s="57"/>
      <c r="M625" s="57"/>
      <c r="N625" s="57"/>
      <c r="O625" s="57"/>
      <c r="P625" s="57"/>
      <c r="Q625" s="57"/>
      <c r="R625" s="2221"/>
      <c r="S625" s="252"/>
    </row>
    <row r="626" spans="1:19">
      <c r="A626" s="252"/>
      <c r="B626" s="57"/>
      <c r="C626" s="57"/>
      <c r="D626" s="57"/>
      <c r="E626" s="57"/>
      <c r="F626" s="57"/>
      <c r="G626" s="57"/>
      <c r="H626" s="57"/>
      <c r="I626" s="57"/>
      <c r="J626" s="57"/>
      <c r="K626" s="57"/>
      <c r="L626" s="57"/>
      <c r="M626" s="57"/>
      <c r="N626" s="57"/>
      <c r="O626" s="57"/>
      <c r="P626" s="57"/>
      <c r="Q626" s="57"/>
      <c r="R626" s="2221"/>
      <c r="S626" s="252"/>
    </row>
    <row r="627" spans="1:19">
      <c r="A627" s="252"/>
      <c r="B627" s="57"/>
      <c r="C627" s="57"/>
      <c r="D627" s="57"/>
      <c r="E627" s="57"/>
      <c r="F627" s="57"/>
      <c r="G627" s="57"/>
      <c r="H627" s="57"/>
      <c r="I627" s="57"/>
      <c r="J627" s="57"/>
      <c r="K627" s="57"/>
      <c r="L627" s="57"/>
      <c r="M627" s="57"/>
      <c r="N627" s="57"/>
      <c r="O627" s="57"/>
      <c r="P627" s="57"/>
      <c r="Q627" s="57"/>
      <c r="R627" s="2221"/>
      <c r="S627" s="252"/>
    </row>
    <row r="628" spans="1:19">
      <c r="A628" s="252"/>
      <c r="B628" s="57"/>
      <c r="C628" s="57"/>
      <c r="D628" s="57"/>
      <c r="E628" s="57"/>
      <c r="F628" s="57"/>
      <c r="G628" s="57"/>
      <c r="H628" s="57"/>
      <c r="I628" s="57"/>
      <c r="J628" s="57"/>
      <c r="K628" s="57"/>
      <c r="L628" s="57"/>
      <c r="M628" s="57"/>
      <c r="N628" s="57"/>
      <c r="O628" s="57"/>
      <c r="P628" s="57"/>
      <c r="Q628" s="57"/>
      <c r="R628" s="2221"/>
      <c r="S628" s="252"/>
    </row>
    <row r="629" spans="1:19">
      <c r="A629" s="252"/>
      <c r="B629" s="57"/>
      <c r="C629" s="57"/>
      <c r="D629" s="57"/>
      <c r="E629" s="57"/>
      <c r="F629" s="57"/>
      <c r="G629" s="57"/>
      <c r="H629" s="57"/>
      <c r="I629" s="57"/>
      <c r="J629" s="57"/>
      <c r="K629" s="57"/>
      <c r="L629" s="57"/>
      <c r="M629" s="57"/>
      <c r="N629" s="57"/>
      <c r="O629" s="57"/>
      <c r="P629" s="57"/>
      <c r="Q629" s="57"/>
      <c r="R629" s="2221"/>
      <c r="S629" s="252"/>
    </row>
    <row r="630" spans="1:19">
      <c r="A630" s="252"/>
      <c r="B630" s="57"/>
      <c r="C630" s="57"/>
      <c r="D630" s="57"/>
      <c r="E630" s="57"/>
      <c r="F630" s="57"/>
      <c r="G630" s="57"/>
      <c r="H630" s="57"/>
      <c r="I630" s="57"/>
      <c r="J630" s="57"/>
      <c r="K630" s="57"/>
      <c r="L630" s="57"/>
      <c r="M630" s="57"/>
      <c r="N630" s="57"/>
      <c r="O630" s="57"/>
      <c r="P630" s="57"/>
      <c r="Q630" s="57"/>
      <c r="R630" s="2221"/>
      <c r="S630" s="252"/>
    </row>
    <row r="631" spans="1:19">
      <c r="A631" s="252"/>
      <c r="B631" s="57"/>
      <c r="C631" s="57"/>
      <c r="D631" s="57"/>
      <c r="E631" s="57"/>
      <c r="F631" s="57"/>
      <c r="G631" s="57"/>
      <c r="H631" s="57"/>
      <c r="I631" s="57"/>
      <c r="J631" s="57"/>
      <c r="K631" s="57"/>
      <c r="L631" s="57"/>
      <c r="M631" s="57"/>
      <c r="N631" s="57"/>
      <c r="O631" s="57"/>
      <c r="P631" s="57"/>
      <c r="Q631" s="57"/>
      <c r="R631" s="2221"/>
      <c r="S631" s="252"/>
    </row>
    <row r="632" spans="1:19">
      <c r="A632" s="252"/>
      <c r="B632" s="57"/>
      <c r="C632" s="57"/>
      <c r="D632" s="57"/>
      <c r="E632" s="57"/>
      <c r="F632" s="57"/>
      <c r="G632" s="57"/>
      <c r="H632" s="57"/>
      <c r="I632" s="57"/>
      <c r="J632" s="57"/>
      <c r="K632" s="57"/>
      <c r="L632" s="57"/>
      <c r="M632" s="57"/>
      <c r="N632" s="57"/>
      <c r="O632" s="57"/>
      <c r="P632" s="57"/>
      <c r="Q632" s="57"/>
      <c r="R632" s="2221"/>
      <c r="S632" s="252"/>
    </row>
    <row r="633" spans="1:19">
      <c r="A633" s="252"/>
      <c r="B633" s="57"/>
      <c r="C633" s="57"/>
      <c r="D633" s="57"/>
      <c r="E633" s="57"/>
      <c r="F633" s="57"/>
      <c r="G633" s="57"/>
      <c r="H633" s="57"/>
      <c r="I633" s="57"/>
      <c r="J633" s="57"/>
      <c r="K633" s="57"/>
      <c r="L633" s="57"/>
      <c r="M633" s="57"/>
      <c r="N633" s="57"/>
      <c r="O633" s="57"/>
      <c r="P633" s="57"/>
      <c r="Q633" s="57"/>
      <c r="R633" s="2221"/>
      <c r="S633" s="252"/>
    </row>
    <row r="634" spans="1:19">
      <c r="A634" s="252"/>
      <c r="B634" s="57"/>
      <c r="C634" s="57"/>
      <c r="D634" s="57"/>
      <c r="E634" s="57"/>
      <c r="F634" s="57"/>
      <c r="G634" s="57"/>
      <c r="H634" s="57"/>
      <c r="I634" s="57"/>
      <c r="J634" s="57"/>
      <c r="K634" s="57"/>
      <c r="L634" s="57"/>
      <c r="M634" s="57"/>
      <c r="N634" s="57"/>
      <c r="O634" s="57"/>
      <c r="P634" s="57"/>
      <c r="Q634" s="57"/>
      <c r="R634" s="2221"/>
      <c r="S634" s="252"/>
    </row>
    <row r="635" spans="1:19">
      <c r="A635" s="252"/>
      <c r="B635" s="57"/>
      <c r="C635" s="57"/>
      <c r="D635" s="57"/>
      <c r="E635" s="57"/>
      <c r="F635" s="57"/>
      <c r="G635" s="57"/>
      <c r="H635" s="57"/>
      <c r="I635" s="57"/>
      <c r="J635" s="57"/>
      <c r="K635" s="57"/>
      <c r="L635" s="57"/>
      <c r="M635" s="57"/>
      <c r="N635" s="57"/>
      <c r="O635" s="57"/>
      <c r="P635" s="57"/>
      <c r="Q635" s="57"/>
      <c r="R635" s="2221"/>
      <c r="S635" s="252"/>
    </row>
    <row r="636" spans="1:19">
      <c r="A636" s="252"/>
      <c r="B636" s="57"/>
      <c r="C636" s="57"/>
      <c r="D636" s="57"/>
      <c r="E636" s="57"/>
      <c r="F636" s="57"/>
      <c r="G636" s="57"/>
      <c r="H636" s="57"/>
      <c r="I636" s="57"/>
      <c r="J636" s="57"/>
      <c r="K636" s="57"/>
      <c r="L636" s="57"/>
      <c r="M636" s="57"/>
      <c r="N636" s="57"/>
      <c r="O636" s="57"/>
      <c r="P636" s="57"/>
      <c r="Q636" s="57"/>
      <c r="R636" s="2221"/>
      <c r="S636" s="252"/>
    </row>
    <row r="637" spans="1:19">
      <c r="A637" s="252"/>
      <c r="B637" s="57"/>
      <c r="C637" s="57"/>
      <c r="D637" s="57"/>
      <c r="E637" s="57"/>
      <c r="F637" s="57"/>
      <c r="G637" s="57"/>
      <c r="H637" s="57"/>
      <c r="I637" s="57"/>
      <c r="J637" s="57"/>
      <c r="K637" s="57"/>
      <c r="L637" s="57"/>
      <c r="M637" s="57"/>
      <c r="N637" s="57"/>
      <c r="O637" s="57"/>
      <c r="P637" s="57"/>
      <c r="Q637" s="57"/>
      <c r="R637" s="2221"/>
      <c r="S637" s="252"/>
    </row>
    <row r="638" spans="1:19">
      <c r="A638" s="252"/>
      <c r="B638" s="57"/>
      <c r="C638" s="57"/>
      <c r="D638" s="57"/>
      <c r="E638" s="57"/>
      <c r="F638" s="57"/>
      <c r="G638" s="57"/>
      <c r="H638" s="57"/>
      <c r="I638" s="57"/>
      <c r="J638" s="57"/>
      <c r="K638" s="57"/>
      <c r="L638" s="57"/>
      <c r="M638" s="57"/>
      <c r="N638" s="57"/>
      <c r="O638" s="57"/>
      <c r="P638" s="57"/>
      <c r="Q638" s="57"/>
      <c r="R638" s="2221"/>
      <c r="S638" s="252"/>
    </row>
    <row r="639" spans="1:19">
      <c r="A639" s="252"/>
      <c r="B639" s="57"/>
      <c r="C639" s="57"/>
      <c r="D639" s="57"/>
      <c r="E639" s="57"/>
      <c r="F639" s="57"/>
      <c r="G639" s="57"/>
      <c r="H639" s="57"/>
      <c r="I639" s="57"/>
      <c r="J639" s="57"/>
      <c r="K639" s="57"/>
      <c r="L639" s="57"/>
      <c r="M639" s="57"/>
      <c r="N639" s="57"/>
      <c r="O639" s="57"/>
      <c r="P639" s="57"/>
      <c r="Q639" s="57"/>
      <c r="R639" s="2221"/>
      <c r="S639" s="252"/>
    </row>
    <row r="640" spans="1:19">
      <c r="A640" s="252"/>
      <c r="B640" s="57"/>
      <c r="C640" s="57"/>
      <c r="D640" s="57"/>
      <c r="E640" s="57"/>
      <c r="F640" s="57"/>
      <c r="G640" s="57"/>
      <c r="H640" s="57"/>
      <c r="I640" s="57"/>
      <c r="J640" s="57"/>
      <c r="K640" s="57"/>
      <c r="L640" s="57"/>
      <c r="M640" s="57"/>
      <c r="N640" s="57"/>
      <c r="O640" s="57"/>
      <c r="P640" s="57"/>
      <c r="Q640" s="57"/>
      <c r="R640" s="2221"/>
      <c r="S640" s="252"/>
    </row>
    <row r="641" spans="1:19">
      <c r="A641" s="252"/>
      <c r="B641" s="57"/>
      <c r="C641" s="57"/>
      <c r="D641" s="57"/>
      <c r="E641" s="57"/>
      <c r="F641" s="57"/>
      <c r="G641" s="57"/>
      <c r="H641" s="57"/>
      <c r="I641" s="57"/>
      <c r="J641" s="57"/>
      <c r="K641" s="57"/>
      <c r="L641" s="57"/>
      <c r="M641" s="57"/>
      <c r="N641" s="57"/>
      <c r="O641" s="57"/>
      <c r="P641" s="57"/>
      <c r="Q641" s="57"/>
      <c r="R641" s="2221"/>
      <c r="S641" s="252"/>
    </row>
    <row r="642" spans="1:19">
      <c r="A642" s="252"/>
      <c r="B642" s="57"/>
      <c r="C642" s="57"/>
      <c r="D642" s="57"/>
      <c r="E642" s="57"/>
      <c r="F642" s="57"/>
      <c r="G642" s="57"/>
      <c r="H642" s="57"/>
      <c r="I642" s="57"/>
      <c r="J642" s="57"/>
      <c r="K642" s="57"/>
      <c r="L642" s="57"/>
      <c r="M642" s="57"/>
      <c r="N642" s="57"/>
      <c r="O642" s="57"/>
      <c r="P642" s="57"/>
      <c r="Q642" s="57"/>
      <c r="R642" s="2221"/>
      <c r="S642" s="252"/>
    </row>
    <row r="643" spans="1:19">
      <c r="A643" s="252"/>
      <c r="B643" s="57"/>
      <c r="C643" s="57"/>
      <c r="D643" s="57"/>
      <c r="E643" s="57"/>
      <c r="F643" s="57"/>
      <c r="G643" s="57"/>
      <c r="H643" s="57"/>
      <c r="I643" s="57"/>
      <c r="J643" s="57"/>
      <c r="K643" s="57"/>
      <c r="L643" s="57"/>
      <c r="M643" s="57"/>
      <c r="N643" s="57"/>
      <c r="O643" s="57"/>
      <c r="P643" s="57"/>
      <c r="Q643" s="57"/>
      <c r="R643" s="2221"/>
      <c r="S643" s="252"/>
    </row>
    <row r="644" spans="1:19">
      <c r="A644" s="252"/>
      <c r="B644" s="57"/>
      <c r="C644" s="57"/>
      <c r="D644" s="57"/>
      <c r="E644" s="57"/>
      <c r="F644" s="57"/>
      <c r="G644" s="57"/>
      <c r="H644" s="57"/>
      <c r="I644" s="57"/>
      <c r="J644" s="57"/>
      <c r="K644" s="57"/>
      <c r="L644" s="57"/>
      <c r="M644" s="57"/>
      <c r="N644" s="57"/>
      <c r="O644" s="57"/>
      <c r="P644" s="57"/>
      <c r="Q644" s="57"/>
      <c r="R644" s="2221"/>
      <c r="S644" s="252"/>
    </row>
    <row r="645" spans="1:19">
      <c r="A645" s="252"/>
      <c r="B645" s="57"/>
      <c r="C645" s="57"/>
      <c r="D645" s="57"/>
      <c r="E645" s="57"/>
      <c r="F645" s="57"/>
      <c r="G645" s="57"/>
      <c r="H645" s="57"/>
      <c r="I645" s="57"/>
      <c r="J645" s="57"/>
      <c r="K645" s="57"/>
      <c r="L645" s="57"/>
      <c r="M645" s="57"/>
      <c r="N645" s="57"/>
      <c r="O645" s="57"/>
      <c r="P645" s="57"/>
      <c r="Q645" s="57"/>
      <c r="R645" s="2221"/>
      <c r="S645" s="252"/>
    </row>
    <row r="646" spans="1:19">
      <c r="A646" s="252"/>
      <c r="B646" s="57"/>
      <c r="C646" s="57"/>
      <c r="D646" s="57"/>
      <c r="E646" s="57"/>
      <c r="F646" s="57"/>
      <c r="G646" s="57"/>
      <c r="H646" s="57"/>
      <c r="I646" s="57"/>
      <c r="J646" s="57"/>
      <c r="K646" s="57"/>
      <c r="L646" s="57"/>
      <c r="M646" s="57"/>
      <c r="N646" s="57"/>
      <c r="O646" s="57"/>
      <c r="P646" s="57"/>
      <c r="Q646" s="57"/>
      <c r="R646" s="2221"/>
      <c r="S646" s="252"/>
    </row>
    <row r="647" spans="1:19">
      <c r="A647" s="252"/>
      <c r="B647" s="57"/>
      <c r="C647" s="57"/>
      <c r="D647" s="57"/>
      <c r="E647" s="57"/>
      <c r="F647" s="57"/>
      <c r="G647" s="57"/>
      <c r="H647" s="57"/>
      <c r="I647" s="57"/>
      <c r="J647" s="57"/>
      <c r="K647" s="57"/>
      <c r="L647" s="57"/>
      <c r="M647" s="57"/>
      <c r="N647" s="57"/>
      <c r="O647" s="57"/>
      <c r="P647" s="57"/>
      <c r="Q647" s="57"/>
      <c r="R647" s="2221"/>
      <c r="S647" s="252"/>
    </row>
    <row r="648" spans="1:19">
      <c r="A648" s="252"/>
      <c r="B648" s="57"/>
      <c r="C648" s="57"/>
      <c r="D648" s="57"/>
      <c r="E648" s="57"/>
      <c r="F648" s="57"/>
      <c r="G648" s="57"/>
      <c r="H648" s="57"/>
      <c r="I648" s="57"/>
      <c r="J648" s="57"/>
      <c r="K648" s="57"/>
      <c r="L648" s="57"/>
      <c r="M648" s="57"/>
      <c r="N648" s="57"/>
      <c r="O648" s="57"/>
      <c r="P648" s="57"/>
      <c r="Q648" s="57"/>
      <c r="R648" s="2221"/>
      <c r="S648" s="252"/>
    </row>
    <row r="649" spans="1:19">
      <c r="A649" s="252"/>
      <c r="B649" s="57"/>
      <c r="C649" s="57"/>
      <c r="D649" s="57"/>
      <c r="E649" s="57"/>
      <c r="F649" s="57"/>
      <c r="G649" s="57"/>
      <c r="H649" s="57"/>
      <c r="I649" s="57"/>
      <c r="J649" s="57"/>
      <c r="K649" s="57"/>
      <c r="L649" s="57"/>
      <c r="M649" s="57"/>
      <c r="N649" s="57"/>
      <c r="O649" s="57"/>
      <c r="P649" s="57"/>
      <c r="Q649" s="57"/>
      <c r="R649" s="2221"/>
      <c r="S649" s="252"/>
    </row>
    <row r="650" spans="1:19">
      <c r="A650" s="252"/>
      <c r="B650" s="57"/>
      <c r="C650" s="57"/>
      <c r="D650" s="57"/>
      <c r="E650" s="57"/>
      <c r="F650" s="57"/>
      <c r="G650" s="57"/>
      <c r="H650" s="57"/>
      <c r="I650" s="57"/>
      <c r="J650" s="57"/>
      <c r="K650" s="57"/>
      <c r="L650" s="57"/>
      <c r="M650" s="57"/>
      <c r="N650" s="57"/>
      <c r="O650" s="57"/>
      <c r="P650" s="57"/>
      <c r="Q650" s="57"/>
      <c r="R650" s="2221"/>
      <c r="S650" s="252"/>
    </row>
    <row r="651" spans="1:19">
      <c r="A651" s="252"/>
      <c r="B651" s="57"/>
      <c r="C651" s="57"/>
      <c r="D651" s="57"/>
      <c r="E651" s="57"/>
      <c r="F651" s="57"/>
      <c r="G651" s="57"/>
      <c r="H651" s="57"/>
      <c r="I651" s="57"/>
      <c r="J651" s="57"/>
      <c r="K651" s="57"/>
      <c r="L651" s="57"/>
      <c r="M651" s="57"/>
      <c r="N651" s="57"/>
      <c r="O651" s="57"/>
      <c r="P651" s="57"/>
      <c r="Q651" s="57"/>
      <c r="R651" s="2221"/>
      <c r="S651" s="252"/>
    </row>
    <row r="652" spans="1:19">
      <c r="A652" s="252"/>
      <c r="B652" s="57"/>
      <c r="C652" s="57"/>
      <c r="D652" s="57"/>
      <c r="E652" s="57"/>
      <c r="F652" s="57"/>
      <c r="G652" s="57"/>
      <c r="H652" s="57"/>
      <c r="I652" s="57"/>
      <c r="J652" s="57"/>
      <c r="K652" s="57"/>
      <c r="L652" s="57"/>
      <c r="M652" s="57"/>
      <c r="N652" s="57"/>
      <c r="O652" s="57"/>
      <c r="P652" s="57"/>
      <c r="Q652" s="57"/>
      <c r="R652" s="2221"/>
      <c r="S652" s="252"/>
    </row>
    <row r="653" spans="1:19">
      <c r="A653" s="252"/>
      <c r="B653" s="57"/>
      <c r="C653" s="57"/>
      <c r="D653" s="57"/>
      <c r="E653" s="57"/>
      <c r="F653" s="57"/>
      <c r="G653" s="57"/>
      <c r="H653" s="57"/>
      <c r="I653" s="57"/>
      <c r="J653" s="57"/>
      <c r="K653" s="57"/>
      <c r="L653" s="57"/>
      <c r="M653" s="57"/>
      <c r="N653" s="57"/>
      <c r="O653" s="57"/>
      <c r="P653" s="57"/>
      <c r="Q653" s="57"/>
      <c r="R653" s="2221"/>
      <c r="S653" s="252"/>
    </row>
    <row r="654" spans="1:19">
      <c r="A654" s="252"/>
      <c r="B654" s="57"/>
      <c r="C654" s="57"/>
      <c r="D654" s="57"/>
      <c r="E654" s="57"/>
      <c r="F654" s="57"/>
      <c r="G654" s="57"/>
      <c r="H654" s="57"/>
      <c r="I654" s="57"/>
      <c r="J654" s="57"/>
      <c r="K654" s="57"/>
      <c r="L654" s="57"/>
      <c r="M654" s="57"/>
      <c r="N654" s="57"/>
      <c r="O654" s="57"/>
      <c r="P654" s="57"/>
      <c r="Q654" s="57"/>
      <c r="R654" s="2221"/>
      <c r="S654" s="252"/>
    </row>
    <row r="655" spans="1:19">
      <c r="A655" s="252"/>
      <c r="B655" s="57"/>
      <c r="C655" s="57"/>
      <c r="D655" s="57"/>
      <c r="E655" s="57"/>
      <c r="F655" s="57"/>
      <c r="G655" s="57"/>
      <c r="H655" s="57"/>
      <c r="I655" s="57"/>
      <c r="J655" s="57"/>
      <c r="K655" s="57"/>
      <c r="L655" s="57"/>
      <c r="M655" s="57"/>
      <c r="N655" s="57"/>
      <c r="O655" s="57"/>
      <c r="P655" s="57"/>
      <c r="Q655" s="57"/>
      <c r="R655" s="2221"/>
      <c r="S655" s="252"/>
    </row>
    <row r="656" spans="1:19">
      <c r="A656" s="252"/>
      <c r="B656" s="57"/>
      <c r="C656" s="57"/>
      <c r="D656" s="57"/>
      <c r="E656" s="57"/>
      <c r="F656" s="57"/>
      <c r="G656" s="57"/>
      <c r="H656" s="57"/>
      <c r="I656" s="57"/>
      <c r="J656" s="57"/>
      <c r="K656" s="57"/>
      <c r="L656" s="57"/>
      <c r="M656" s="57"/>
      <c r="N656" s="57"/>
      <c r="O656" s="57"/>
      <c r="P656" s="57"/>
      <c r="Q656" s="57"/>
      <c r="R656" s="2221"/>
      <c r="S656" s="252"/>
    </row>
    <row r="657" spans="1:19">
      <c r="A657" s="252"/>
      <c r="B657" s="57"/>
      <c r="C657" s="57"/>
      <c r="D657" s="57"/>
      <c r="E657" s="57"/>
      <c r="F657" s="57"/>
      <c r="G657" s="57"/>
      <c r="H657" s="57"/>
      <c r="I657" s="57"/>
      <c r="J657" s="57"/>
      <c r="K657" s="57"/>
      <c r="L657" s="57"/>
      <c r="M657" s="57"/>
      <c r="N657" s="57"/>
      <c r="O657" s="57"/>
      <c r="P657" s="57"/>
      <c r="Q657" s="57"/>
      <c r="R657" s="2221"/>
      <c r="S657" s="252"/>
    </row>
    <row r="658" spans="1:19">
      <c r="A658" s="252"/>
      <c r="B658" s="57"/>
      <c r="C658" s="57"/>
      <c r="D658" s="57"/>
      <c r="E658" s="57"/>
      <c r="F658" s="57"/>
      <c r="G658" s="57"/>
      <c r="H658" s="57"/>
      <c r="I658" s="57"/>
      <c r="J658" s="57"/>
      <c r="K658" s="57"/>
      <c r="L658" s="57"/>
      <c r="M658" s="57"/>
      <c r="N658" s="57"/>
      <c r="O658" s="57"/>
      <c r="P658" s="57"/>
      <c r="Q658" s="57"/>
      <c r="R658" s="2221"/>
      <c r="S658" s="252"/>
    </row>
    <row r="659" spans="1:19">
      <c r="A659" s="252"/>
      <c r="B659" s="57"/>
      <c r="C659" s="57"/>
      <c r="D659" s="57"/>
      <c r="E659" s="57"/>
      <c r="F659" s="57"/>
      <c r="G659" s="57"/>
      <c r="H659" s="57"/>
      <c r="I659" s="57"/>
      <c r="J659" s="57"/>
      <c r="K659" s="57"/>
      <c r="L659" s="57"/>
      <c r="M659" s="57"/>
      <c r="N659" s="57"/>
      <c r="O659" s="57"/>
      <c r="P659" s="57"/>
      <c r="Q659" s="57"/>
      <c r="R659" s="2221"/>
      <c r="S659" s="252"/>
    </row>
    <row r="660" spans="1:19">
      <c r="A660" s="252"/>
      <c r="B660" s="57"/>
      <c r="C660" s="57"/>
      <c r="D660" s="57"/>
      <c r="E660" s="57"/>
      <c r="F660" s="57"/>
      <c r="G660" s="57"/>
      <c r="H660" s="57"/>
      <c r="I660" s="57"/>
      <c r="J660" s="57"/>
      <c r="K660" s="57"/>
      <c r="L660" s="57"/>
      <c r="M660" s="57"/>
      <c r="N660" s="57"/>
      <c r="O660" s="57"/>
      <c r="P660" s="57"/>
      <c r="Q660" s="57"/>
      <c r="R660" s="2221"/>
      <c r="S660" s="252"/>
    </row>
    <row r="661" spans="1:19">
      <c r="A661" s="252"/>
      <c r="B661" s="57"/>
      <c r="C661" s="57"/>
      <c r="D661" s="57"/>
      <c r="E661" s="57"/>
      <c r="F661" s="57"/>
      <c r="G661" s="57"/>
      <c r="H661" s="57"/>
      <c r="I661" s="57"/>
      <c r="J661" s="57"/>
      <c r="K661" s="57"/>
      <c r="L661" s="57"/>
      <c r="M661" s="57"/>
      <c r="N661" s="57"/>
      <c r="O661" s="57"/>
      <c r="P661" s="57"/>
      <c r="Q661" s="57"/>
      <c r="R661" s="2221"/>
      <c r="S661" s="252"/>
    </row>
    <row r="662" spans="1:19">
      <c r="A662" s="252"/>
      <c r="B662" s="57"/>
      <c r="C662" s="57"/>
      <c r="D662" s="57"/>
      <c r="E662" s="57"/>
      <c r="F662" s="57"/>
      <c r="G662" s="57"/>
      <c r="H662" s="57"/>
      <c r="I662" s="57"/>
      <c r="J662" s="57"/>
      <c r="K662" s="57"/>
      <c r="L662" s="57"/>
      <c r="M662" s="57"/>
      <c r="N662" s="57"/>
      <c r="O662" s="57"/>
      <c r="P662" s="57"/>
      <c r="Q662" s="57"/>
      <c r="R662" s="2221"/>
      <c r="S662" s="252"/>
    </row>
    <row r="663" spans="1:19">
      <c r="A663" s="252"/>
      <c r="B663" s="57"/>
      <c r="C663" s="57"/>
      <c r="D663" s="57"/>
      <c r="E663" s="57"/>
      <c r="F663" s="57"/>
      <c r="G663" s="57"/>
      <c r="H663" s="57"/>
      <c r="I663" s="57"/>
      <c r="J663" s="57"/>
      <c r="K663" s="57"/>
      <c r="L663" s="57"/>
      <c r="M663" s="57"/>
      <c r="N663" s="57"/>
      <c r="O663" s="57"/>
      <c r="P663" s="57"/>
      <c r="Q663" s="57"/>
      <c r="R663" s="2221"/>
      <c r="S663" s="252"/>
    </row>
    <row r="664" spans="1:19">
      <c r="A664" s="252"/>
      <c r="B664" s="57"/>
      <c r="C664" s="57"/>
      <c r="D664" s="57"/>
      <c r="E664" s="57"/>
      <c r="F664" s="57"/>
      <c r="G664" s="57"/>
      <c r="H664" s="57"/>
      <c r="I664" s="57"/>
      <c r="J664" s="57"/>
      <c r="K664" s="57"/>
      <c r="L664" s="57"/>
      <c r="M664" s="57"/>
      <c r="N664" s="57"/>
      <c r="O664" s="57"/>
      <c r="P664" s="57"/>
      <c r="Q664" s="57"/>
      <c r="R664" s="2221"/>
      <c r="S664" s="252"/>
    </row>
    <row r="665" spans="1:19">
      <c r="A665" s="252"/>
      <c r="B665" s="57"/>
      <c r="C665" s="57"/>
      <c r="D665" s="57"/>
      <c r="E665" s="57"/>
      <c r="F665" s="57"/>
      <c r="G665" s="57"/>
      <c r="H665" s="57"/>
      <c r="I665" s="57"/>
      <c r="J665" s="57"/>
      <c r="K665" s="57"/>
      <c r="L665" s="57"/>
      <c r="M665" s="57"/>
      <c r="N665" s="57"/>
      <c r="O665" s="57"/>
      <c r="P665" s="57"/>
      <c r="Q665" s="57"/>
      <c r="R665" s="2221"/>
      <c r="S665" s="252"/>
    </row>
    <row r="666" spans="1:19">
      <c r="A666" s="252"/>
      <c r="B666" s="57"/>
      <c r="C666" s="57"/>
      <c r="D666" s="57"/>
      <c r="E666" s="57"/>
      <c r="F666" s="57"/>
      <c r="G666" s="57"/>
      <c r="H666" s="57"/>
      <c r="I666" s="57"/>
      <c r="J666" s="57"/>
      <c r="K666" s="57"/>
      <c r="L666" s="57"/>
      <c r="M666" s="57"/>
      <c r="N666" s="57"/>
      <c r="O666" s="57"/>
      <c r="P666" s="57"/>
      <c r="Q666" s="57"/>
      <c r="R666" s="2221"/>
      <c r="S666" s="252"/>
    </row>
    <row r="667" spans="1:19">
      <c r="A667" s="252"/>
      <c r="B667" s="57"/>
      <c r="C667" s="57"/>
      <c r="D667" s="57"/>
      <c r="E667" s="57"/>
      <c r="F667" s="57"/>
      <c r="G667" s="57"/>
      <c r="H667" s="57"/>
      <c r="I667" s="57"/>
      <c r="J667" s="57"/>
      <c r="K667" s="57"/>
      <c r="L667" s="57"/>
      <c r="M667" s="57"/>
      <c r="N667" s="57"/>
      <c r="O667" s="57"/>
      <c r="P667" s="57"/>
      <c r="Q667" s="57"/>
      <c r="R667" s="2221"/>
      <c r="S667" s="252"/>
    </row>
    <row r="668" spans="1:19">
      <c r="A668" s="252"/>
      <c r="B668" s="57"/>
      <c r="C668" s="57"/>
      <c r="D668" s="57"/>
      <c r="E668" s="57"/>
      <c r="F668" s="57"/>
      <c r="G668" s="57"/>
      <c r="H668" s="57"/>
      <c r="I668" s="57"/>
      <c r="J668" s="57"/>
      <c r="K668" s="57"/>
      <c r="L668" s="57"/>
      <c r="M668" s="57"/>
      <c r="N668" s="57"/>
      <c r="O668" s="57"/>
      <c r="P668" s="57"/>
      <c r="Q668" s="57"/>
      <c r="R668" s="2221"/>
      <c r="S668" s="252"/>
    </row>
    <row r="669" spans="1:19">
      <c r="A669" s="252"/>
      <c r="B669" s="57"/>
      <c r="C669" s="57"/>
      <c r="D669" s="57"/>
      <c r="E669" s="57"/>
      <c r="F669" s="57"/>
      <c r="G669" s="57"/>
      <c r="H669" s="57"/>
      <c r="I669" s="57"/>
      <c r="J669" s="57"/>
      <c r="K669" s="57"/>
      <c r="L669" s="57"/>
      <c r="M669" s="57"/>
      <c r="N669" s="57"/>
      <c r="O669" s="57"/>
      <c r="P669" s="57"/>
      <c r="Q669" s="57"/>
      <c r="R669" s="2221"/>
      <c r="S669" s="252"/>
    </row>
    <row r="670" spans="1:19">
      <c r="A670" s="252"/>
      <c r="B670" s="57"/>
      <c r="C670" s="57"/>
      <c r="D670" s="57"/>
      <c r="E670" s="57"/>
      <c r="F670" s="57"/>
      <c r="G670" s="57"/>
      <c r="H670" s="57"/>
      <c r="I670" s="57"/>
      <c r="J670" s="57"/>
      <c r="K670" s="57"/>
      <c r="L670" s="57"/>
      <c r="M670" s="57"/>
      <c r="N670" s="57"/>
      <c r="O670" s="57"/>
      <c r="P670" s="57"/>
      <c r="Q670" s="57"/>
      <c r="R670" s="2221"/>
      <c r="S670" s="252"/>
    </row>
    <row r="671" spans="1:19">
      <c r="A671" s="252"/>
      <c r="B671" s="57"/>
      <c r="C671" s="57"/>
      <c r="D671" s="57"/>
      <c r="E671" s="57"/>
      <c r="F671" s="57"/>
      <c r="G671" s="57"/>
      <c r="H671" s="57"/>
      <c r="I671" s="57"/>
      <c r="J671" s="57"/>
      <c r="K671" s="57"/>
      <c r="L671" s="57"/>
      <c r="M671" s="57"/>
      <c r="N671" s="57"/>
      <c r="O671" s="57"/>
      <c r="P671" s="57"/>
      <c r="Q671" s="57"/>
      <c r="R671" s="2221"/>
      <c r="S671" s="252"/>
    </row>
    <row r="672" spans="1:19">
      <c r="A672" s="252"/>
      <c r="B672" s="57"/>
      <c r="C672" s="57"/>
      <c r="D672" s="57"/>
      <c r="E672" s="57"/>
      <c r="F672" s="57"/>
      <c r="G672" s="57"/>
      <c r="H672" s="57"/>
      <c r="I672" s="57"/>
      <c r="J672" s="57"/>
      <c r="K672" s="57"/>
      <c r="L672" s="57"/>
      <c r="M672" s="57"/>
      <c r="N672" s="57"/>
      <c r="O672" s="57"/>
      <c r="P672" s="57"/>
      <c r="Q672" s="57"/>
      <c r="R672" s="2221"/>
      <c r="S672" s="252"/>
    </row>
    <row r="673" spans="1:19">
      <c r="A673" s="252"/>
      <c r="B673" s="57"/>
      <c r="C673" s="57"/>
      <c r="D673" s="57"/>
      <c r="E673" s="57"/>
      <c r="F673" s="57"/>
      <c r="G673" s="57"/>
      <c r="H673" s="57"/>
      <c r="I673" s="57"/>
      <c r="J673" s="57"/>
      <c r="K673" s="57"/>
      <c r="L673" s="57"/>
      <c r="M673" s="57"/>
      <c r="N673" s="57"/>
      <c r="O673" s="57"/>
      <c r="P673" s="57"/>
      <c r="Q673" s="57"/>
      <c r="R673" s="2221"/>
      <c r="S673" s="252"/>
    </row>
    <row r="674" spans="1:19">
      <c r="A674" s="252"/>
      <c r="B674" s="57"/>
      <c r="C674" s="57"/>
      <c r="D674" s="57"/>
      <c r="E674" s="57"/>
      <c r="F674" s="57"/>
      <c r="G674" s="57"/>
      <c r="H674" s="57"/>
      <c r="I674" s="57"/>
      <c r="J674" s="57"/>
      <c r="K674" s="57"/>
      <c r="L674" s="57"/>
      <c r="M674" s="57"/>
      <c r="N674" s="57"/>
      <c r="O674" s="57"/>
      <c r="P674" s="57"/>
      <c r="Q674" s="57"/>
      <c r="R674" s="2221"/>
      <c r="S674" s="252"/>
    </row>
    <row r="675" spans="1:19">
      <c r="A675" s="252"/>
      <c r="B675" s="57"/>
      <c r="C675" s="57"/>
      <c r="D675" s="57"/>
      <c r="E675" s="57"/>
      <c r="F675" s="57"/>
      <c r="G675" s="57"/>
      <c r="H675" s="57"/>
      <c r="I675" s="57"/>
      <c r="J675" s="57"/>
      <c r="K675" s="57"/>
      <c r="L675" s="57"/>
      <c r="M675" s="57"/>
      <c r="N675" s="57"/>
      <c r="O675" s="57"/>
      <c r="P675" s="57"/>
      <c r="Q675" s="57"/>
      <c r="R675" s="2221"/>
      <c r="S675" s="252"/>
    </row>
    <row r="676" spans="1:19">
      <c r="A676" s="252"/>
      <c r="B676" s="57"/>
      <c r="C676" s="57"/>
      <c r="D676" s="57"/>
      <c r="E676" s="57"/>
      <c r="F676" s="57"/>
      <c r="G676" s="57"/>
      <c r="H676" s="57"/>
      <c r="I676" s="57"/>
      <c r="J676" s="57"/>
      <c r="K676" s="57"/>
      <c r="L676" s="57"/>
      <c r="M676" s="57"/>
      <c r="N676" s="57"/>
      <c r="O676" s="57"/>
      <c r="P676" s="57"/>
      <c r="Q676" s="57"/>
      <c r="R676" s="2221"/>
      <c r="S676" s="252"/>
    </row>
    <row r="677" spans="1:19">
      <c r="A677" s="252"/>
      <c r="B677" s="57"/>
      <c r="C677" s="57"/>
      <c r="D677" s="57"/>
      <c r="E677" s="57"/>
      <c r="F677" s="57"/>
      <c r="G677" s="57"/>
      <c r="H677" s="57"/>
      <c r="I677" s="57"/>
      <c r="J677" s="57"/>
      <c r="K677" s="57"/>
      <c r="L677" s="57"/>
      <c r="M677" s="57"/>
      <c r="N677" s="57"/>
      <c r="O677" s="57"/>
      <c r="P677" s="57"/>
      <c r="Q677" s="57"/>
      <c r="R677" s="2221"/>
      <c r="S677" s="252"/>
    </row>
    <row r="678" spans="1:19">
      <c r="A678" s="252"/>
      <c r="B678" s="57"/>
      <c r="C678" s="57"/>
      <c r="D678" s="57"/>
      <c r="E678" s="57"/>
      <c r="F678" s="57"/>
      <c r="G678" s="57"/>
      <c r="H678" s="57"/>
      <c r="I678" s="57"/>
      <c r="J678" s="57"/>
      <c r="K678" s="57"/>
      <c r="L678" s="57"/>
      <c r="M678" s="57"/>
      <c r="N678" s="57"/>
      <c r="O678" s="57"/>
      <c r="P678" s="57"/>
      <c r="Q678" s="57"/>
      <c r="R678" s="2221"/>
      <c r="S678" s="252"/>
    </row>
    <row r="679" spans="1:19">
      <c r="A679" s="252"/>
      <c r="B679" s="57"/>
      <c r="C679" s="57"/>
      <c r="D679" s="57"/>
      <c r="E679" s="57"/>
      <c r="F679" s="57"/>
      <c r="G679" s="57"/>
      <c r="H679" s="57"/>
      <c r="I679" s="57"/>
      <c r="J679" s="57"/>
      <c r="K679" s="57"/>
      <c r="L679" s="57"/>
      <c r="M679" s="57"/>
      <c r="N679" s="57"/>
      <c r="O679" s="57"/>
      <c r="P679" s="57"/>
      <c r="Q679" s="57"/>
      <c r="R679" s="2221"/>
      <c r="S679" s="252"/>
    </row>
    <row r="680" spans="1:19">
      <c r="A680" s="252"/>
      <c r="B680" s="57"/>
      <c r="C680" s="57"/>
      <c r="D680" s="57"/>
      <c r="E680" s="57"/>
      <c r="F680" s="57"/>
      <c r="G680" s="57"/>
      <c r="H680" s="57"/>
      <c r="I680" s="57"/>
      <c r="J680" s="57"/>
      <c r="K680" s="57"/>
      <c r="L680" s="57"/>
      <c r="M680" s="57"/>
      <c r="N680" s="57"/>
      <c r="O680" s="57"/>
      <c r="P680" s="57"/>
      <c r="Q680" s="57"/>
      <c r="R680" s="2221"/>
      <c r="S680" s="252"/>
    </row>
    <row r="681" spans="1:19">
      <c r="A681" s="252"/>
      <c r="B681" s="57"/>
      <c r="C681" s="57"/>
      <c r="D681" s="57"/>
      <c r="E681" s="57"/>
      <c r="F681" s="57"/>
      <c r="G681" s="57"/>
      <c r="H681" s="57"/>
      <c r="I681" s="57"/>
      <c r="J681" s="57"/>
      <c r="K681" s="57"/>
      <c r="L681" s="57"/>
      <c r="M681" s="57"/>
      <c r="N681" s="57"/>
      <c r="O681" s="57"/>
      <c r="P681" s="57"/>
      <c r="Q681" s="57"/>
      <c r="R681" s="2221"/>
      <c r="S681" s="252"/>
    </row>
    <row r="682" spans="1:19">
      <c r="A682" s="252"/>
      <c r="B682" s="57"/>
      <c r="C682" s="57"/>
      <c r="D682" s="57"/>
      <c r="E682" s="57"/>
      <c r="F682" s="57"/>
      <c r="G682" s="57"/>
      <c r="H682" s="57"/>
      <c r="I682" s="57"/>
      <c r="J682" s="57"/>
      <c r="K682" s="57"/>
      <c r="L682" s="57"/>
      <c r="M682" s="57"/>
      <c r="N682" s="57"/>
      <c r="O682" s="57"/>
      <c r="P682" s="57"/>
      <c r="Q682" s="57"/>
      <c r="R682" s="2221"/>
      <c r="S682" s="252"/>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2" customWidth="1"/>
    <col min="2" max="2" width="13.25" style="2968" customWidth="1"/>
    <col min="3" max="3" width="15.625" style="2968" customWidth="1"/>
    <col min="4" max="4" width="9.375" style="2968" bestFit="1" customWidth="1"/>
    <col min="5" max="5" width="13.5" style="2968" customWidth="1"/>
    <col min="6" max="6" width="9" style="2968"/>
    <col min="7" max="7" width="9.375" style="2968" bestFit="1" customWidth="1"/>
    <col min="8" max="9" width="9" style="2968"/>
    <col min="10" max="10" width="9.375" style="2968" bestFit="1" customWidth="1"/>
    <col min="11" max="11" width="4" style="2962" customWidth="1"/>
    <col min="12" max="12" width="5.125" style="2968" customWidth="1"/>
    <col min="13" max="13" width="13.75" style="2968" customWidth="1"/>
    <col min="14" max="256" width="9" style="2968"/>
    <col min="257" max="257" width="4.875" style="2960" customWidth="1"/>
    <col min="258" max="258" width="13.25" style="2960" customWidth="1"/>
    <col min="259" max="259" width="15.625" style="2960" customWidth="1"/>
    <col min="260" max="260" width="9.375" style="2960" bestFit="1" customWidth="1"/>
    <col min="261" max="261" width="13.5" style="2960" customWidth="1"/>
    <col min="262" max="262" width="9" style="2960"/>
    <col min="263" max="263" width="9.375" style="2960" bestFit="1" customWidth="1"/>
    <col min="264" max="265" width="9" style="2960"/>
    <col min="266" max="266" width="9.375" style="2960" bestFit="1" customWidth="1"/>
    <col min="267" max="267" width="4" style="2960" customWidth="1"/>
    <col min="268" max="268" width="5.125" style="2960" customWidth="1"/>
    <col min="269" max="269" width="13.75" style="2960" customWidth="1"/>
    <col min="270" max="512" width="9" style="2960"/>
    <col min="513" max="513" width="4.875" style="2960" customWidth="1"/>
    <col min="514" max="514" width="13.25" style="2960" customWidth="1"/>
    <col min="515" max="515" width="15.625" style="2960" customWidth="1"/>
    <col min="516" max="516" width="9.375" style="2960" bestFit="1" customWidth="1"/>
    <col min="517" max="517" width="13.5" style="2960" customWidth="1"/>
    <col min="518" max="518" width="9" style="2960"/>
    <col min="519" max="519" width="9.375" style="2960" bestFit="1" customWidth="1"/>
    <col min="520" max="521" width="9" style="2960"/>
    <col min="522" max="522" width="9.375" style="2960" bestFit="1" customWidth="1"/>
    <col min="523" max="523" width="4" style="2960" customWidth="1"/>
    <col min="524" max="524" width="5.125" style="2960" customWidth="1"/>
    <col min="525" max="525" width="13.75" style="2960" customWidth="1"/>
    <col min="526" max="768" width="9" style="2960"/>
    <col min="769" max="769" width="4.875" style="2960" customWidth="1"/>
    <col min="770" max="770" width="13.25" style="2960" customWidth="1"/>
    <col min="771" max="771" width="15.625" style="2960" customWidth="1"/>
    <col min="772" max="772" width="9.375" style="2960" bestFit="1" customWidth="1"/>
    <col min="773" max="773" width="13.5" style="2960" customWidth="1"/>
    <col min="774" max="774" width="9" style="2960"/>
    <col min="775" max="775" width="9.375" style="2960" bestFit="1" customWidth="1"/>
    <col min="776" max="777" width="9" style="2960"/>
    <col min="778" max="778" width="9.375" style="2960" bestFit="1" customWidth="1"/>
    <col min="779" max="779" width="4" style="2960" customWidth="1"/>
    <col min="780" max="780" width="5.125" style="2960" customWidth="1"/>
    <col min="781" max="781" width="13.75" style="2960" customWidth="1"/>
    <col min="782" max="1024" width="9" style="2960"/>
    <col min="1025" max="1025" width="4.875" style="2960" customWidth="1"/>
    <col min="1026" max="1026" width="13.25" style="2960" customWidth="1"/>
    <col min="1027" max="1027" width="15.625" style="2960" customWidth="1"/>
    <col min="1028" max="1028" width="9.375" style="2960" bestFit="1" customWidth="1"/>
    <col min="1029" max="1029" width="13.5" style="2960" customWidth="1"/>
    <col min="1030" max="1030" width="9" style="2960"/>
    <col min="1031" max="1031" width="9.375" style="2960" bestFit="1" customWidth="1"/>
    <col min="1032" max="1033" width="9" style="2960"/>
    <col min="1034" max="1034" width="9.375" style="2960" bestFit="1" customWidth="1"/>
    <col min="1035" max="1035" width="4" style="2960" customWidth="1"/>
    <col min="1036" max="1036" width="5.125" style="2960" customWidth="1"/>
    <col min="1037" max="1037" width="13.75" style="2960" customWidth="1"/>
    <col min="1038" max="1280" width="9" style="2960"/>
    <col min="1281" max="1281" width="4.875" style="2960" customWidth="1"/>
    <col min="1282" max="1282" width="13.25" style="2960" customWidth="1"/>
    <col min="1283" max="1283" width="15.625" style="2960" customWidth="1"/>
    <col min="1284" max="1284" width="9.375" style="2960" bestFit="1" customWidth="1"/>
    <col min="1285" max="1285" width="13.5" style="2960" customWidth="1"/>
    <col min="1286" max="1286" width="9" style="2960"/>
    <col min="1287" max="1287" width="9.375" style="2960" bestFit="1" customWidth="1"/>
    <col min="1288" max="1289" width="9" style="2960"/>
    <col min="1290" max="1290" width="9.375" style="2960" bestFit="1" customWidth="1"/>
    <col min="1291" max="1291" width="4" style="2960" customWidth="1"/>
    <col min="1292" max="1292" width="5.125" style="2960" customWidth="1"/>
    <col min="1293" max="1293" width="13.75" style="2960" customWidth="1"/>
    <col min="1294" max="1536" width="9" style="2960"/>
    <col min="1537" max="1537" width="4.875" style="2960" customWidth="1"/>
    <col min="1538" max="1538" width="13.25" style="2960" customWidth="1"/>
    <col min="1539" max="1539" width="15.625" style="2960" customWidth="1"/>
    <col min="1540" max="1540" width="9.375" style="2960" bestFit="1" customWidth="1"/>
    <col min="1541" max="1541" width="13.5" style="2960" customWidth="1"/>
    <col min="1542" max="1542" width="9" style="2960"/>
    <col min="1543" max="1543" width="9.375" style="2960" bestFit="1" customWidth="1"/>
    <col min="1544" max="1545" width="9" style="2960"/>
    <col min="1546" max="1546" width="9.375" style="2960" bestFit="1" customWidth="1"/>
    <col min="1547" max="1547" width="4" style="2960" customWidth="1"/>
    <col min="1548" max="1548" width="5.125" style="2960" customWidth="1"/>
    <col min="1549" max="1549" width="13.75" style="2960" customWidth="1"/>
    <col min="1550" max="1792" width="9" style="2960"/>
    <col min="1793" max="1793" width="4.875" style="2960" customWidth="1"/>
    <col min="1794" max="1794" width="13.25" style="2960" customWidth="1"/>
    <col min="1795" max="1795" width="15.625" style="2960" customWidth="1"/>
    <col min="1796" max="1796" width="9.375" style="2960" bestFit="1" customWidth="1"/>
    <col min="1797" max="1797" width="13.5" style="2960" customWidth="1"/>
    <col min="1798" max="1798" width="9" style="2960"/>
    <col min="1799" max="1799" width="9.375" style="2960" bestFit="1" customWidth="1"/>
    <col min="1800" max="1801" width="9" style="2960"/>
    <col min="1802" max="1802" width="9.375" style="2960" bestFit="1" customWidth="1"/>
    <col min="1803" max="1803" width="4" style="2960" customWidth="1"/>
    <col min="1804" max="1804" width="5.125" style="2960" customWidth="1"/>
    <col min="1805" max="1805" width="13.75" style="2960" customWidth="1"/>
    <col min="1806" max="2048" width="9" style="2960"/>
    <col min="2049" max="2049" width="4.875" style="2960" customWidth="1"/>
    <col min="2050" max="2050" width="13.25" style="2960" customWidth="1"/>
    <col min="2051" max="2051" width="15.625" style="2960" customWidth="1"/>
    <col min="2052" max="2052" width="9.375" style="2960" bestFit="1" customWidth="1"/>
    <col min="2053" max="2053" width="13.5" style="2960" customWidth="1"/>
    <col min="2054" max="2054" width="9" style="2960"/>
    <col min="2055" max="2055" width="9.375" style="2960" bestFit="1" customWidth="1"/>
    <col min="2056" max="2057" width="9" style="2960"/>
    <col min="2058" max="2058" width="9.375" style="2960" bestFit="1" customWidth="1"/>
    <col min="2059" max="2059" width="4" style="2960" customWidth="1"/>
    <col min="2060" max="2060" width="5.125" style="2960" customWidth="1"/>
    <col min="2061" max="2061" width="13.75" style="2960" customWidth="1"/>
    <col min="2062" max="2304" width="9" style="2960"/>
    <col min="2305" max="2305" width="4.875" style="2960" customWidth="1"/>
    <col min="2306" max="2306" width="13.25" style="2960" customWidth="1"/>
    <col min="2307" max="2307" width="15.625" style="2960" customWidth="1"/>
    <col min="2308" max="2308" width="9.375" style="2960" bestFit="1" customWidth="1"/>
    <col min="2309" max="2309" width="13.5" style="2960" customWidth="1"/>
    <col min="2310" max="2310" width="9" style="2960"/>
    <col min="2311" max="2311" width="9.375" style="2960" bestFit="1" customWidth="1"/>
    <col min="2312" max="2313" width="9" style="2960"/>
    <col min="2314" max="2314" width="9.375" style="2960" bestFit="1" customWidth="1"/>
    <col min="2315" max="2315" width="4" style="2960" customWidth="1"/>
    <col min="2316" max="2316" width="5.125" style="2960" customWidth="1"/>
    <col min="2317" max="2317" width="13.75" style="2960" customWidth="1"/>
    <col min="2318" max="2560" width="9" style="2960"/>
    <col min="2561" max="2561" width="4.875" style="2960" customWidth="1"/>
    <col min="2562" max="2562" width="13.25" style="2960" customWidth="1"/>
    <col min="2563" max="2563" width="15.625" style="2960" customWidth="1"/>
    <col min="2564" max="2564" width="9.375" style="2960" bestFit="1" customWidth="1"/>
    <col min="2565" max="2565" width="13.5" style="2960" customWidth="1"/>
    <col min="2566" max="2566" width="9" style="2960"/>
    <col min="2567" max="2567" width="9.375" style="2960" bestFit="1" customWidth="1"/>
    <col min="2568" max="2569" width="9" style="2960"/>
    <col min="2570" max="2570" width="9.375" style="2960" bestFit="1" customWidth="1"/>
    <col min="2571" max="2571" width="4" style="2960" customWidth="1"/>
    <col min="2572" max="2572" width="5.125" style="2960" customWidth="1"/>
    <col min="2573" max="2573" width="13.75" style="2960" customWidth="1"/>
    <col min="2574" max="2816" width="9" style="2960"/>
    <col min="2817" max="2817" width="4.875" style="2960" customWidth="1"/>
    <col min="2818" max="2818" width="13.25" style="2960" customWidth="1"/>
    <col min="2819" max="2819" width="15.625" style="2960" customWidth="1"/>
    <col min="2820" max="2820" width="9.375" style="2960" bestFit="1" customWidth="1"/>
    <col min="2821" max="2821" width="13.5" style="2960" customWidth="1"/>
    <col min="2822" max="2822" width="9" style="2960"/>
    <col min="2823" max="2823" width="9.375" style="2960" bestFit="1" customWidth="1"/>
    <col min="2824" max="2825" width="9" style="2960"/>
    <col min="2826" max="2826" width="9.375" style="2960" bestFit="1" customWidth="1"/>
    <col min="2827" max="2827" width="4" style="2960" customWidth="1"/>
    <col min="2828" max="2828" width="5.125" style="2960" customWidth="1"/>
    <col min="2829" max="2829" width="13.75" style="2960" customWidth="1"/>
    <col min="2830" max="3072" width="9" style="2960"/>
    <col min="3073" max="3073" width="4.875" style="2960" customWidth="1"/>
    <col min="3074" max="3074" width="13.25" style="2960" customWidth="1"/>
    <col min="3075" max="3075" width="15.625" style="2960" customWidth="1"/>
    <col min="3076" max="3076" width="9.375" style="2960" bestFit="1" customWidth="1"/>
    <col min="3077" max="3077" width="13.5" style="2960" customWidth="1"/>
    <col min="3078" max="3078" width="9" style="2960"/>
    <col min="3079" max="3079" width="9.375" style="2960" bestFit="1" customWidth="1"/>
    <col min="3080" max="3081" width="9" style="2960"/>
    <col min="3082" max="3082" width="9.375" style="2960" bestFit="1" customWidth="1"/>
    <col min="3083" max="3083" width="4" style="2960" customWidth="1"/>
    <col min="3084" max="3084" width="5.125" style="2960" customWidth="1"/>
    <col min="3085" max="3085" width="13.75" style="2960" customWidth="1"/>
    <col min="3086" max="3328" width="9" style="2960"/>
    <col min="3329" max="3329" width="4.875" style="2960" customWidth="1"/>
    <col min="3330" max="3330" width="13.25" style="2960" customWidth="1"/>
    <col min="3331" max="3331" width="15.625" style="2960" customWidth="1"/>
    <col min="3332" max="3332" width="9.375" style="2960" bestFit="1" customWidth="1"/>
    <col min="3333" max="3333" width="13.5" style="2960" customWidth="1"/>
    <col min="3334" max="3334" width="9" style="2960"/>
    <col min="3335" max="3335" width="9.375" style="2960" bestFit="1" customWidth="1"/>
    <col min="3336" max="3337" width="9" style="2960"/>
    <col min="3338" max="3338" width="9.375" style="2960" bestFit="1" customWidth="1"/>
    <col min="3339" max="3339" width="4" style="2960" customWidth="1"/>
    <col min="3340" max="3340" width="5.125" style="2960" customWidth="1"/>
    <col min="3341" max="3341" width="13.75" style="2960" customWidth="1"/>
    <col min="3342" max="3584" width="9" style="2960"/>
    <col min="3585" max="3585" width="4.875" style="2960" customWidth="1"/>
    <col min="3586" max="3586" width="13.25" style="2960" customWidth="1"/>
    <col min="3587" max="3587" width="15.625" style="2960" customWidth="1"/>
    <col min="3588" max="3588" width="9.375" style="2960" bestFit="1" customWidth="1"/>
    <col min="3589" max="3589" width="13.5" style="2960" customWidth="1"/>
    <col min="3590" max="3590" width="9" style="2960"/>
    <col min="3591" max="3591" width="9.375" style="2960" bestFit="1" customWidth="1"/>
    <col min="3592" max="3593" width="9" style="2960"/>
    <col min="3594" max="3594" width="9.375" style="2960" bestFit="1" customWidth="1"/>
    <col min="3595" max="3595" width="4" style="2960" customWidth="1"/>
    <col min="3596" max="3596" width="5.125" style="2960" customWidth="1"/>
    <col min="3597" max="3597" width="13.75" style="2960" customWidth="1"/>
    <col min="3598" max="3840" width="9" style="2960"/>
    <col min="3841" max="3841" width="4.875" style="2960" customWidth="1"/>
    <col min="3842" max="3842" width="13.25" style="2960" customWidth="1"/>
    <col min="3843" max="3843" width="15.625" style="2960" customWidth="1"/>
    <col min="3844" max="3844" width="9.375" style="2960" bestFit="1" customWidth="1"/>
    <col min="3845" max="3845" width="13.5" style="2960" customWidth="1"/>
    <col min="3846" max="3846" width="9" style="2960"/>
    <col min="3847" max="3847" width="9.375" style="2960" bestFit="1" customWidth="1"/>
    <col min="3848" max="3849" width="9" style="2960"/>
    <col min="3850" max="3850" width="9.375" style="2960" bestFit="1" customWidth="1"/>
    <col min="3851" max="3851" width="4" style="2960" customWidth="1"/>
    <col min="3852" max="3852" width="5.125" style="2960" customWidth="1"/>
    <col min="3853" max="3853" width="13.75" style="2960" customWidth="1"/>
    <col min="3854" max="4096" width="9" style="2960"/>
    <col min="4097" max="4097" width="4.875" style="2960" customWidth="1"/>
    <col min="4098" max="4098" width="13.25" style="2960" customWidth="1"/>
    <col min="4099" max="4099" width="15.625" style="2960" customWidth="1"/>
    <col min="4100" max="4100" width="9.375" style="2960" bestFit="1" customWidth="1"/>
    <col min="4101" max="4101" width="13.5" style="2960" customWidth="1"/>
    <col min="4102" max="4102" width="9" style="2960"/>
    <col min="4103" max="4103" width="9.375" style="2960" bestFit="1" customWidth="1"/>
    <col min="4104" max="4105" width="9" style="2960"/>
    <col min="4106" max="4106" width="9.375" style="2960" bestFit="1" customWidth="1"/>
    <col min="4107" max="4107" width="4" style="2960" customWidth="1"/>
    <col min="4108" max="4108" width="5.125" style="2960" customWidth="1"/>
    <col min="4109" max="4109" width="13.75" style="2960" customWidth="1"/>
    <col min="4110" max="4352" width="9" style="2960"/>
    <col min="4353" max="4353" width="4.875" style="2960" customWidth="1"/>
    <col min="4354" max="4354" width="13.25" style="2960" customWidth="1"/>
    <col min="4355" max="4355" width="15.625" style="2960" customWidth="1"/>
    <col min="4356" max="4356" width="9.375" style="2960" bestFit="1" customWidth="1"/>
    <col min="4357" max="4357" width="13.5" style="2960" customWidth="1"/>
    <col min="4358" max="4358" width="9" style="2960"/>
    <col min="4359" max="4359" width="9.375" style="2960" bestFit="1" customWidth="1"/>
    <col min="4360" max="4361" width="9" style="2960"/>
    <col min="4362" max="4362" width="9.375" style="2960" bestFit="1" customWidth="1"/>
    <col min="4363" max="4363" width="4" style="2960" customWidth="1"/>
    <col min="4364" max="4364" width="5.125" style="2960" customWidth="1"/>
    <col min="4365" max="4365" width="13.75" style="2960" customWidth="1"/>
    <col min="4366" max="4608" width="9" style="2960"/>
    <col min="4609" max="4609" width="4.875" style="2960" customWidth="1"/>
    <col min="4610" max="4610" width="13.25" style="2960" customWidth="1"/>
    <col min="4611" max="4611" width="15.625" style="2960" customWidth="1"/>
    <col min="4612" max="4612" width="9.375" style="2960" bestFit="1" customWidth="1"/>
    <col min="4613" max="4613" width="13.5" style="2960" customWidth="1"/>
    <col min="4614" max="4614" width="9" style="2960"/>
    <col min="4615" max="4615" width="9.375" style="2960" bestFit="1" customWidth="1"/>
    <col min="4616" max="4617" width="9" style="2960"/>
    <col min="4618" max="4618" width="9.375" style="2960" bestFit="1" customWidth="1"/>
    <col min="4619" max="4619" width="4" style="2960" customWidth="1"/>
    <col min="4620" max="4620" width="5.125" style="2960" customWidth="1"/>
    <col min="4621" max="4621" width="13.75" style="2960" customWidth="1"/>
    <col min="4622" max="4864" width="9" style="2960"/>
    <col min="4865" max="4865" width="4.875" style="2960" customWidth="1"/>
    <col min="4866" max="4866" width="13.25" style="2960" customWidth="1"/>
    <col min="4867" max="4867" width="15.625" style="2960" customWidth="1"/>
    <col min="4868" max="4868" width="9.375" style="2960" bestFit="1" customWidth="1"/>
    <col min="4869" max="4869" width="13.5" style="2960" customWidth="1"/>
    <col min="4870" max="4870" width="9" style="2960"/>
    <col min="4871" max="4871" width="9.375" style="2960" bestFit="1" customWidth="1"/>
    <col min="4872" max="4873" width="9" style="2960"/>
    <col min="4874" max="4874" width="9.375" style="2960" bestFit="1" customWidth="1"/>
    <col min="4875" max="4875" width="4" style="2960" customWidth="1"/>
    <col min="4876" max="4876" width="5.125" style="2960" customWidth="1"/>
    <col min="4877" max="4877" width="13.75" style="2960" customWidth="1"/>
    <col min="4878" max="5120" width="9" style="2960"/>
    <col min="5121" max="5121" width="4.875" style="2960" customWidth="1"/>
    <col min="5122" max="5122" width="13.25" style="2960" customWidth="1"/>
    <col min="5123" max="5123" width="15.625" style="2960" customWidth="1"/>
    <col min="5124" max="5124" width="9.375" style="2960" bestFit="1" customWidth="1"/>
    <col min="5125" max="5125" width="13.5" style="2960" customWidth="1"/>
    <col min="5126" max="5126" width="9" style="2960"/>
    <col min="5127" max="5127" width="9.375" style="2960" bestFit="1" customWidth="1"/>
    <col min="5128" max="5129" width="9" style="2960"/>
    <col min="5130" max="5130" width="9.375" style="2960" bestFit="1" customWidth="1"/>
    <col min="5131" max="5131" width="4" style="2960" customWidth="1"/>
    <col min="5132" max="5132" width="5.125" style="2960" customWidth="1"/>
    <col min="5133" max="5133" width="13.75" style="2960" customWidth="1"/>
    <col min="5134" max="5376" width="9" style="2960"/>
    <col min="5377" max="5377" width="4.875" style="2960" customWidth="1"/>
    <col min="5378" max="5378" width="13.25" style="2960" customWidth="1"/>
    <col min="5379" max="5379" width="15.625" style="2960" customWidth="1"/>
    <col min="5380" max="5380" width="9.375" style="2960" bestFit="1" customWidth="1"/>
    <col min="5381" max="5381" width="13.5" style="2960" customWidth="1"/>
    <col min="5382" max="5382" width="9" style="2960"/>
    <col min="5383" max="5383" width="9.375" style="2960" bestFit="1" customWidth="1"/>
    <col min="5384" max="5385" width="9" style="2960"/>
    <col min="5386" max="5386" width="9.375" style="2960" bestFit="1" customWidth="1"/>
    <col min="5387" max="5387" width="4" style="2960" customWidth="1"/>
    <col min="5388" max="5388" width="5.125" style="2960" customWidth="1"/>
    <col min="5389" max="5389" width="13.75" style="2960" customWidth="1"/>
    <col min="5390" max="5632" width="9" style="2960"/>
    <col min="5633" max="5633" width="4.875" style="2960" customWidth="1"/>
    <col min="5634" max="5634" width="13.25" style="2960" customWidth="1"/>
    <col min="5635" max="5635" width="15.625" style="2960" customWidth="1"/>
    <col min="5636" max="5636" width="9.375" style="2960" bestFit="1" customWidth="1"/>
    <col min="5637" max="5637" width="13.5" style="2960" customWidth="1"/>
    <col min="5638" max="5638" width="9" style="2960"/>
    <col min="5639" max="5639" width="9.375" style="2960" bestFit="1" customWidth="1"/>
    <col min="5640" max="5641" width="9" style="2960"/>
    <col min="5642" max="5642" width="9.375" style="2960" bestFit="1" customWidth="1"/>
    <col min="5643" max="5643" width="4" style="2960" customWidth="1"/>
    <col min="5644" max="5644" width="5.125" style="2960" customWidth="1"/>
    <col min="5645" max="5645" width="13.75" style="2960" customWidth="1"/>
    <col min="5646" max="5888" width="9" style="2960"/>
    <col min="5889" max="5889" width="4.875" style="2960" customWidth="1"/>
    <col min="5890" max="5890" width="13.25" style="2960" customWidth="1"/>
    <col min="5891" max="5891" width="15.625" style="2960" customWidth="1"/>
    <col min="5892" max="5892" width="9.375" style="2960" bestFit="1" customWidth="1"/>
    <col min="5893" max="5893" width="13.5" style="2960" customWidth="1"/>
    <col min="5894" max="5894" width="9" style="2960"/>
    <col min="5895" max="5895" width="9.375" style="2960" bestFit="1" customWidth="1"/>
    <col min="5896" max="5897" width="9" style="2960"/>
    <col min="5898" max="5898" width="9.375" style="2960" bestFit="1" customWidth="1"/>
    <col min="5899" max="5899" width="4" style="2960" customWidth="1"/>
    <col min="5900" max="5900" width="5.125" style="2960" customWidth="1"/>
    <col min="5901" max="5901" width="13.75" style="2960" customWidth="1"/>
    <col min="5902" max="6144" width="9" style="2960"/>
    <col min="6145" max="6145" width="4.875" style="2960" customWidth="1"/>
    <col min="6146" max="6146" width="13.25" style="2960" customWidth="1"/>
    <col min="6147" max="6147" width="15.625" style="2960" customWidth="1"/>
    <col min="6148" max="6148" width="9.375" style="2960" bestFit="1" customWidth="1"/>
    <col min="6149" max="6149" width="13.5" style="2960" customWidth="1"/>
    <col min="6150" max="6150" width="9" style="2960"/>
    <col min="6151" max="6151" width="9.375" style="2960" bestFit="1" customWidth="1"/>
    <col min="6152" max="6153" width="9" style="2960"/>
    <col min="6154" max="6154" width="9.375" style="2960" bestFit="1" customWidth="1"/>
    <col min="6155" max="6155" width="4" style="2960" customWidth="1"/>
    <col min="6156" max="6156" width="5.125" style="2960" customWidth="1"/>
    <col min="6157" max="6157" width="13.75" style="2960" customWidth="1"/>
    <col min="6158" max="6400" width="9" style="2960"/>
    <col min="6401" max="6401" width="4.875" style="2960" customWidth="1"/>
    <col min="6402" max="6402" width="13.25" style="2960" customWidth="1"/>
    <col min="6403" max="6403" width="15.625" style="2960" customWidth="1"/>
    <col min="6404" max="6404" width="9.375" style="2960" bestFit="1" customWidth="1"/>
    <col min="6405" max="6405" width="13.5" style="2960" customWidth="1"/>
    <col min="6406" max="6406" width="9" style="2960"/>
    <col min="6407" max="6407" width="9.375" style="2960" bestFit="1" customWidth="1"/>
    <col min="6408" max="6409" width="9" style="2960"/>
    <col min="6410" max="6410" width="9.375" style="2960" bestFit="1" customWidth="1"/>
    <col min="6411" max="6411" width="4" style="2960" customWidth="1"/>
    <col min="6412" max="6412" width="5.125" style="2960" customWidth="1"/>
    <col min="6413" max="6413" width="13.75" style="2960" customWidth="1"/>
    <col min="6414" max="6656" width="9" style="2960"/>
    <col min="6657" max="6657" width="4.875" style="2960" customWidth="1"/>
    <col min="6658" max="6658" width="13.25" style="2960" customWidth="1"/>
    <col min="6659" max="6659" width="15.625" style="2960" customWidth="1"/>
    <col min="6660" max="6660" width="9.375" style="2960" bestFit="1" customWidth="1"/>
    <col min="6661" max="6661" width="13.5" style="2960" customWidth="1"/>
    <col min="6662" max="6662" width="9" style="2960"/>
    <col min="6663" max="6663" width="9.375" style="2960" bestFit="1" customWidth="1"/>
    <col min="6664" max="6665" width="9" style="2960"/>
    <col min="6666" max="6666" width="9.375" style="2960" bestFit="1" customWidth="1"/>
    <col min="6667" max="6667" width="4" style="2960" customWidth="1"/>
    <col min="6668" max="6668" width="5.125" style="2960" customWidth="1"/>
    <col min="6669" max="6669" width="13.75" style="2960" customWidth="1"/>
    <col min="6670" max="6912" width="9" style="2960"/>
    <col min="6913" max="6913" width="4.875" style="2960" customWidth="1"/>
    <col min="6914" max="6914" width="13.25" style="2960" customWidth="1"/>
    <col min="6915" max="6915" width="15.625" style="2960" customWidth="1"/>
    <col min="6916" max="6916" width="9.375" style="2960" bestFit="1" customWidth="1"/>
    <col min="6917" max="6917" width="13.5" style="2960" customWidth="1"/>
    <col min="6918" max="6918" width="9" style="2960"/>
    <col min="6919" max="6919" width="9.375" style="2960" bestFit="1" customWidth="1"/>
    <col min="6920" max="6921" width="9" style="2960"/>
    <col min="6922" max="6922" width="9.375" style="2960" bestFit="1" customWidth="1"/>
    <col min="6923" max="6923" width="4" style="2960" customWidth="1"/>
    <col min="6924" max="6924" width="5.125" style="2960" customWidth="1"/>
    <col min="6925" max="6925" width="13.75" style="2960" customWidth="1"/>
    <col min="6926" max="7168" width="9" style="2960"/>
    <col min="7169" max="7169" width="4.875" style="2960" customWidth="1"/>
    <col min="7170" max="7170" width="13.25" style="2960" customWidth="1"/>
    <col min="7171" max="7171" width="15.625" style="2960" customWidth="1"/>
    <col min="7172" max="7172" width="9.375" style="2960" bestFit="1" customWidth="1"/>
    <col min="7173" max="7173" width="13.5" style="2960" customWidth="1"/>
    <col min="7174" max="7174" width="9" style="2960"/>
    <col min="7175" max="7175" width="9.375" style="2960" bestFit="1" customWidth="1"/>
    <col min="7176" max="7177" width="9" style="2960"/>
    <col min="7178" max="7178" width="9.375" style="2960" bestFit="1" customWidth="1"/>
    <col min="7179" max="7179" width="4" style="2960" customWidth="1"/>
    <col min="7180" max="7180" width="5.125" style="2960" customWidth="1"/>
    <col min="7181" max="7181" width="13.75" style="2960" customWidth="1"/>
    <col min="7182" max="7424" width="9" style="2960"/>
    <col min="7425" max="7425" width="4.875" style="2960" customWidth="1"/>
    <col min="7426" max="7426" width="13.25" style="2960" customWidth="1"/>
    <col min="7427" max="7427" width="15.625" style="2960" customWidth="1"/>
    <col min="7428" max="7428" width="9.375" style="2960" bestFit="1" customWidth="1"/>
    <col min="7429" max="7429" width="13.5" style="2960" customWidth="1"/>
    <col min="7430" max="7430" width="9" style="2960"/>
    <col min="7431" max="7431" width="9.375" style="2960" bestFit="1" customWidth="1"/>
    <col min="7432" max="7433" width="9" style="2960"/>
    <col min="7434" max="7434" width="9.375" style="2960" bestFit="1" customWidth="1"/>
    <col min="7435" max="7435" width="4" style="2960" customWidth="1"/>
    <col min="7436" max="7436" width="5.125" style="2960" customWidth="1"/>
    <col min="7437" max="7437" width="13.75" style="2960" customWidth="1"/>
    <col min="7438" max="7680" width="9" style="2960"/>
    <col min="7681" max="7681" width="4.875" style="2960" customWidth="1"/>
    <col min="7682" max="7682" width="13.25" style="2960" customWidth="1"/>
    <col min="7683" max="7683" width="15.625" style="2960" customWidth="1"/>
    <col min="7684" max="7684" width="9.375" style="2960" bestFit="1" customWidth="1"/>
    <col min="7685" max="7685" width="13.5" style="2960" customWidth="1"/>
    <col min="7686" max="7686" width="9" style="2960"/>
    <col min="7687" max="7687" width="9.375" style="2960" bestFit="1" customWidth="1"/>
    <col min="7688" max="7689" width="9" style="2960"/>
    <col min="7690" max="7690" width="9.375" style="2960" bestFit="1" customWidth="1"/>
    <col min="7691" max="7691" width="4" style="2960" customWidth="1"/>
    <col min="7692" max="7692" width="5.125" style="2960" customWidth="1"/>
    <col min="7693" max="7693" width="13.75" style="2960" customWidth="1"/>
    <col min="7694" max="7936" width="9" style="2960"/>
    <col min="7937" max="7937" width="4.875" style="2960" customWidth="1"/>
    <col min="7938" max="7938" width="13.25" style="2960" customWidth="1"/>
    <col min="7939" max="7939" width="15.625" style="2960" customWidth="1"/>
    <col min="7940" max="7940" width="9.375" style="2960" bestFit="1" customWidth="1"/>
    <col min="7941" max="7941" width="13.5" style="2960" customWidth="1"/>
    <col min="7942" max="7942" width="9" style="2960"/>
    <col min="7943" max="7943" width="9.375" style="2960" bestFit="1" customWidth="1"/>
    <col min="7944" max="7945" width="9" style="2960"/>
    <col min="7946" max="7946" width="9.375" style="2960" bestFit="1" customWidth="1"/>
    <col min="7947" max="7947" width="4" style="2960" customWidth="1"/>
    <col min="7948" max="7948" width="5.125" style="2960" customWidth="1"/>
    <col min="7949" max="7949" width="13.75" style="2960" customWidth="1"/>
    <col min="7950" max="8192" width="9" style="2960"/>
    <col min="8193" max="8193" width="4.875" style="2960" customWidth="1"/>
    <col min="8194" max="8194" width="13.25" style="2960" customWidth="1"/>
    <col min="8195" max="8195" width="15.625" style="2960" customWidth="1"/>
    <col min="8196" max="8196" width="9.375" style="2960" bestFit="1" customWidth="1"/>
    <col min="8197" max="8197" width="13.5" style="2960" customWidth="1"/>
    <col min="8198" max="8198" width="9" style="2960"/>
    <col min="8199" max="8199" width="9.375" style="2960" bestFit="1" customWidth="1"/>
    <col min="8200" max="8201" width="9" style="2960"/>
    <col min="8202" max="8202" width="9.375" style="2960" bestFit="1" customWidth="1"/>
    <col min="8203" max="8203" width="4" style="2960" customWidth="1"/>
    <col min="8204" max="8204" width="5.125" style="2960" customWidth="1"/>
    <col min="8205" max="8205" width="13.75" style="2960" customWidth="1"/>
    <col min="8206" max="8448" width="9" style="2960"/>
    <col min="8449" max="8449" width="4.875" style="2960" customWidth="1"/>
    <col min="8450" max="8450" width="13.25" style="2960" customWidth="1"/>
    <col min="8451" max="8451" width="15.625" style="2960" customWidth="1"/>
    <col min="8452" max="8452" width="9.375" style="2960" bestFit="1" customWidth="1"/>
    <col min="8453" max="8453" width="13.5" style="2960" customWidth="1"/>
    <col min="8454" max="8454" width="9" style="2960"/>
    <col min="8455" max="8455" width="9.375" style="2960" bestFit="1" customWidth="1"/>
    <col min="8456" max="8457" width="9" style="2960"/>
    <col min="8458" max="8458" width="9.375" style="2960" bestFit="1" customWidth="1"/>
    <col min="8459" max="8459" width="4" style="2960" customWidth="1"/>
    <col min="8460" max="8460" width="5.125" style="2960" customWidth="1"/>
    <col min="8461" max="8461" width="13.75" style="2960" customWidth="1"/>
    <col min="8462" max="8704" width="9" style="2960"/>
    <col min="8705" max="8705" width="4.875" style="2960" customWidth="1"/>
    <col min="8706" max="8706" width="13.25" style="2960" customWidth="1"/>
    <col min="8707" max="8707" width="15.625" style="2960" customWidth="1"/>
    <col min="8708" max="8708" width="9.375" style="2960" bestFit="1" customWidth="1"/>
    <col min="8709" max="8709" width="13.5" style="2960" customWidth="1"/>
    <col min="8710" max="8710" width="9" style="2960"/>
    <col min="8711" max="8711" width="9.375" style="2960" bestFit="1" customWidth="1"/>
    <col min="8712" max="8713" width="9" style="2960"/>
    <col min="8714" max="8714" width="9.375" style="2960" bestFit="1" customWidth="1"/>
    <col min="8715" max="8715" width="4" style="2960" customWidth="1"/>
    <col min="8716" max="8716" width="5.125" style="2960" customWidth="1"/>
    <col min="8717" max="8717" width="13.75" style="2960" customWidth="1"/>
    <col min="8718" max="8960" width="9" style="2960"/>
    <col min="8961" max="8961" width="4.875" style="2960" customWidth="1"/>
    <col min="8962" max="8962" width="13.25" style="2960" customWidth="1"/>
    <col min="8963" max="8963" width="15.625" style="2960" customWidth="1"/>
    <col min="8964" max="8964" width="9.375" style="2960" bestFit="1" customWidth="1"/>
    <col min="8965" max="8965" width="13.5" style="2960" customWidth="1"/>
    <col min="8966" max="8966" width="9" style="2960"/>
    <col min="8967" max="8967" width="9.375" style="2960" bestFit="1" customWidth="1"/>
    <col min="8968" max="8969" width="9" style="2960"/>
    <col min="8970" max="8970" width="9.375" style="2960" bestFit="1" customWidth="1"/>
    <col min="8971" max="8971" width="4" style="2960" customWidth="1"/>
    <col min="8972" max="8972" width="5.125" style="2960" customWidth="1"/>
    <col min="8973" max="8973" width="13.75" style="2960" customWidth="1"/>
    <col min="8974" max="9216" width="9" style="2960"/>
    <col min="9217" max="9217" width="4.875" style="2960" customWidth="1"/>
    <col min="9218" max="9218" width="13.25" style="2960" customWidth="1"/>
    <col min="9219" max="9219" width="15.625" style="2960" customWidth="1"/>
    <col min="9220" max="9220" width="9.375" style="2960" bestFit="1" customWidth="1"/>
    <col min="9221" max="9221" width="13.5" style="2960" customWidth="1"/>
    <col min="9222" max="9222" width="9" style="2960"/>
    <col min="9223" max="9223" width="9.375" style="2960" bestFit="1" customWidth="1"/>
    <col min="9224" max="9225" width="9" style="2960"/>
    <col min="9226" max="9226" width="9.375" style="2960" bestFit="1" customWidth="1"/>
    <col min="9227" max="9227" width="4" style="2960" customWidth="1"/>
    <col min="9228" max="9228" width="5.125" style="2960" customWidth="1"/>
    <col min="9229" max="9229" width="13.75" style="2960" customWidth="1"/>
    <col min="9230" max="9472" width="9" style="2960"/>
    <col min="9473" max="9473" width="4.875" style="2960" customWidth="1"/>
    <col min="9474" max="9474" width="13.25" style="2960" customWidth="1"/>
    <col min="9475" max="9475" width="15.625" style="2960" customWidth="1"/>
    <col min="9476" max="9476" width="9.375" style="2960" bestFit="1" customWidth="1"/>
    <col min="9477" max="9477" width="13.5" style="2960" customWidth="1"/>
    <col min="9478" max="9478" width="9" style="2960"/>
    <col min="9479" max="9479" width="9.375" style="2960" bestFit="1" customWidth="1"/>
    <col min="9480" max="9481" width="9" style="2960"/>
    <col min="9482" max="9482" width="9.375" style="2960" bestFit="1" customWidth="1"/>
    <col min="9483" max="9483" width="4" style="2960" customWidth="1"/>
    <col min="9484" max="9484" width="5.125" style="2960" customWidth="1"/>
    <col min="9485" max="9485" width="13.75" style="2960" customWidth="1"/>
    <col min="9486" max="9728" width="9" style="2960"/>
    <col min="9729" max="9729" width="4.875" style="2960" customWidth="1"/>
    <col min="9730" max="9730" width="13.25" style="2960" customWidth="1"/>
    <col min="9731" max="9731" width="15.625" style="2960" customWidth="1"/>
    <col min="9732" max="9732" width="9.375" style="2960" bestFit="1" customWidth="1"/>
    <col min="9733" max="9733" width="13.5" style="2960" customWidth="1"/>
    <col min="9734" max="9734" width="9" style="2960"/>
    <col min="9735" max="9735" width="9.375" style="2960" bestFit="1" customWidth="1"/>
    <col min="9736" max="9737" width="9" style="2960"/>
    <col min="9738" max="9738" width="9.375" style="2960" bestFit="1" customWidth="1"/>
    <col min="9739" max="9739" width="4" style="2960" customWidth="1"/>
    <col min="9740" max="9740" width="5.125" style="2960" customWidth="1"/>
    <col min="9741" max="9741" width="13.75" style="2960" customWidth="1"/>
    <col min="9742" max="9984" width="9" style="2960"/>
    <col min="9985" max="9985" width="4.875" style="2960" customWidth="1"/>
    <col min="9986" max="9986" width="13.25" style="2960" customWidth="1"/>
    <col min="9987" max="9987" width="15.625" style="2960" customWidth="1"/>
    <col min="9988" max="9988" width="9.375" style="2960" bestFit="1" customWidth="1"/>
    <col min="9989" max="9989" width="13.5" style="2960" customWidth="1"/>
    <col min="9990" max="9990" width="9" style="2960"/>
    <col min="9991" max="9991" width="9.375" style="2960" bestFit="1" customWidth="1"/>
    <col min="9992" max="9993" width="9" style="2960"/>
    <col min="9994" max="9994" width="9.375" style="2960" bestFit="1" customWidth="1"/>
    <col min="9995" max="9995" width="4" style="2960" customWidth="1"/>
    <col min="9996" max="9996" width="5.125" style="2960" customWidth="1"/>
    <col min="9997" max="9997" width="13.75" style="2960" customWidth="1"/>
    <col min="9998" max="10240" width="9" style="2960"/>
    <col min="10241" max="10241" width="4.875" style="2960" customWidth="1"/>
    <col min="10242" max="10242" width="13.25" style="2960" customWidth="1"/>
    <col min="10243" max="10243" width="15.625" style="2960" customWidth="1"/>
    <col min="10244" max="10244" width="9.375" style="2960" bestFit="1" customWidth="1"/>
    <col min="10245" max="10245" width="13.5" style="2960" customWidth="1"/>
    <col min="10246" max="10246" width="9" style="2960"/>
    <col min="10247" max="10247" width="9.375" style="2960" bestFit="1" customWidth="1"/>
    <col min="10248" max="10249" width="9" style="2960"/>
    <col min="10250" max="10250" width="9.375" style="2960" bestFit="1" customWidth="1"/>
    <col min="10251" max="10251" width="4" style="2960" customWidth="1"/>
    <col min="10252" max="10252" width="5.125" style="2960" customWidth="1"/>
    <col min="10253" max="10253" width="13.75" style="2960" customWidth="1"/>
    <col min="10254" max="10496" width="9" style="2960"/>
    <col min="10497" max="10497" width="4.875" style="2960" customWidth="1"/>
    <col min="10498" max="10498" width="13.25" style="2960" customWidth="1"/>
    <col min="10499" max="10499" width="15.625" style="2960" customWidth="1"/>
    <col min="10500" max="10500" width="9.375" style="2960" bestFit="1" customWidth="1"/>
    <col min="10501" max="10501" width="13.5" style="2960" customWidth="1"/>
    <col min="10502" max="10502" width="9" style="2960"/>
    <col min="10503" max="10503" width="9.375" style="2960" bestFit="1" customWidth="1"/>
    <col min="10504" max="10505" width="9" style="2960"/>
    <col min="10506" max="10506" width="9.375" style="2960" bestFit="1" customWidth="1"/>
    <col min="10507" max="10507" width="4" style="2960" customWidth="1"/>
    <col min="10508" max="10508" width="5.125" style="2960" customWidth="1"/>
    <col min="10509" max="10509" width="13.75" style="2960" customWidth="1"/>
    <col min="10510" max="10752" width="9" style="2960"/>
    <col min="10753" max="10753" width="4.875" style="2960" customWidth="1"/>
    <col min="10754" max="10754" width="13.25" style="2960" customWidth="1"/>
    <col min="10755" max="10755" width="15.625" style="2960" customWidth="1"/>
    <col min="10756" max="10756" width="9.375" style="2960" bestFit="1" customWidth="1"/>
    <col min="10757" max="10757" width="13.5" style="2960" customWidth="1"/>
    <col min="10758" max="10758" width="9" style="2960"/>
    <col min="10759" max="10759" width="9.375" style="2960" bestFit="1" customWidth="1"/>
    <col min="10760" max="10761" width="9" style="2960"/>
    <col min="10762" max="10762" width="9.375" style="2960" bestFit="1" customWidth="1"/>
    <col min="10763" max="10763" width="4" style="2960" customWidth="1"/>
    <col min="10764" max="10764" width="5.125" style="2960" customWidth="1"/>
    <col min="10765" max="10765" width="13.75" style="2960" customWidth="1"/>
    <col min="10766" max="11008" width="9" style="2960"/>
    <col min="11009" max="11009" width="4.875" style="2960" customWidth="1"/>
    <col min="11010" max="11010" width="13.25" style="2960" customWidth="1"/>
    <col min="11011" max="11011" width="15.625" style="2960" customWidth="1"/>
    <col min="11012" max="11012" width="9.375" style="2960" bestFit="1" customWidth="1"/>
    <col min="11013" max="11013" width="13.5" style="2960" customWidth="1"/>
    <col min="11014" max="11014" width="9" style="2960"/>
    <col min="11015" max="11015" width="9.375" style="2960" bestFit="1" customWidth="1"/>
    <col min="11016" max="11017" width="9" style="2960"/>
    <col min="11018" max="11018" width="9.375" style="2960" bestFit="1" customWidth="1"/>
    <col min="11019" max="11019" width="4" style="2960" customWidth="1"/>
    <col min="11020" max="11020" width="5.125" style="2960" customWidth="1"/>
    <col min="11021" max="11021" width="13.75" style="2960" customWidth="1"/>
    <col min="11022" max="11264" width="9" style="2960"/>
    <col min="11265" max="11265" width="4.875" style="2960" customWidth="1"/>
    <col min="11266" max="11266" width="13.25" style="2960" customWidth="1"/>
    <col min="11267" max="11267" width="15.625" style="2960" customWidth="1"/>
    <col min="11268" max="11268" width="9.375" style="2960" bestFit="1" customWidth="1"/>
    <col min="11269" max="11269" width="13.5" style="2960" customWidth="1"/>
    <col min="11270" max="11270" width="9" style="2960"/>
    <col min="11271" max="11271" width="9.375" style="2960" bestFit="1" customWidth="1"/>
    <col min="11272" max="11273" width="9" style="2960"/>
    <col min="11274" max="11274" width="9.375" style="2960" bestFit="1" customWidth="1"/>
    <col min="11275" max="11275" width="4" style="2960" customWidth="1"/>
    <col min="11276" max="11276" width="5.125" style="2960" customWidth="1"/>
    <col min="11277" max="11277" width="13.75" style="2960" customWidth="1"/>
    <col min="11278" max="11520" width="9" style="2960"/>
    <col min="11521" max="11521" width="4.875" style="2960" customWidth="1"/>
    <col min="11522" max="11522" width="13.25" style="2960" customWidth="1"/>
    <col min="11523" max="11523" width="15.625" style="2960" customWidth="1"/>
    <col min="11524" max="11524" width="9.375" style="2960" bestFit="1" customWidth="1"/>
    <col min="11525" max="11525" width="13.5" style="2960" customWidth="1"/>
    <col min="11526" max="11526" width="9" style="2960"/>
    <col min="11527" max="11527" width="9.375" style="2960" bestFit="1" customWidth="1"/>
    <col min="11528" max="11529" width="9" style="2960"/>
    <col min="11530" max="11530" width="9.375" style="2960" bestFit="1" customWidth="1"/>
    <col min="11531" max="11531" width="4" style="2960" customWidth="1"/>
    <col min="11532" max="11532" width="5.125" style="2960" customWidth="1"/>
    <col min="11533" max="11533" width="13.75" style="2960" customWidth="1"/>
    <col min="11534" max="11776" width="9" style="2960"/>
    <col min="11777" max="11777" width="4.875" style="2960" customWidth="1"/>
    <col min="11778" max="11778" width="13.25" style="2960" customWidth="1"/>
    <col min="11779" max="11779" width="15.625" style="2960" customWidth="1"/>
    <col min="11780" max="11780" width="9.375" style="2960" bestFit="1" customWidth="1"/>
    <col min="11781" max="11781" width="13.5" style="2960" customWidth="1"/>
    <col min="11782" max="11782" width="9" style="2960"/>
    <col min="11783" max="11783" width="9.375" style="2960" bestFit="1" customWidth="1"/>
    <col min="11784" max="11785" width="9" style="2960"/>
    <col min="11786" max="11786" width="9.375" style="2960" bestFit="1" customWidth="1"/>
    <col min="11787" max="11787" width="4" style="2960" customWidth="1"/>
    <col min="11788" max="11788" width="5.125" style="2960" customWidth="1"/>
    <col min="11789" max="11789" width="13.75" style="2960" customWidth="1"/>
    <col min="11790" max="12032" width="9" style="2960"/>
    <col min="12033" max="12033" width="4.875" style="2960" customWidth="1"/>
    <col min="12034" max="12034" width="13.25" style="2960" customWidth="1"/>
    <col min="12035" max="12035" width="15.625" style="2960" customWidth="1"/>
    <col min="12036" max="12036" width="9.375" style="2960" bestFit="1" customWidth="1"/>
    <col min="12037" max="12037" width="13.5" style="2960" customWidth="1"/>
    <col min="12038" max="12038" width="9" style="2960"/>
    <col min="12039" max="12039" width="9.375" style="2960" bestFit="1" customWidth="1"/>
    <col min="12040" max="12041" width="9" style="2960"/>
    <col min="12042" max="12042" width="9.375" style="2960" bestFit="1" customWidth="1"/>
    <col min="12043" max="12043" width="4" style="2960" customWidth="1"/>
    <col min="12044" max="12044" width="5.125" style="2960" customWidth="1"/>
    <col min="12045" max="12045" width="13.75" style="2960" customWidth="1"/>
    <col min="12046" max="12288" width="9" style="2960"/>
    <col min="12289" max="12289" width="4.875" style="2960" customWidth="1"/>
    <col min="12290" max="12290" width="13.25" style="2960" customWidth="1"/>
    <col min="12291" max="12291" width="15.625" style="2960" customWidth="1"/>
    <col min="12292" max="12292" width="9.375" style="2960" bestFit="1" customWidth="1"/>
    <col min="12293" max="12293" width="13.5" style="2960" customWidth="1"/>
    <col min="12294" max="12294" width="9" style="2960"/>
    <col min="12295" max="12295" width="9.375" style="2960" bestFit="1" customWidth="1"/>
    <col min="12296" max="12297" width="9" style="2960"/>
    <col min="12298" max="12298" width="9.375" style="2960" bestFit="1" customWidth="1"/>
    <col min="12299" max="12299" width="4" style="2960" customWidth="1"/>
    <col min="12300" max="12300" width="5.125" style="2960" customWidth="1"/>
    <col min="12301" max="12301" width="13.75" style="2960" customWidth="1"/>
    <col min="12302" max="12544" width="9" style="2960"/>
    <col min="12545" max="12545" width="4.875" style="2960" customWidth="1"/>
    <col min="12546" max="12546" width="13.25" style="2960" customWidth="1"/>
    <col min="12547" max="12547" width="15.625" style="2960" customWidth="1"/>
    <col min="12548" max="12548" width="9.375" style="2960" bestFit="1" customWidth="1"/>
    <col min="12549" max="12549" width="13.5" style="2960" customWidth="1"/>
    <col min="12550" max="12550" width="9" style="2960"/>
    <col min="12551" max="12551" width="9.375" style="2960" bestFit="1" customWidth="1"/>
    <col min="12552" max="12553" width="9" style="2960"/>
    <col min="12554" max="12554" width="9.375" style="2960" bestFit="1" customWidth="1"/>
    <col min="12555" max="12555" width="4" style="2960" customWidth="1"/>
    <col min="12556" max="12556" width="5.125" style="2960" customWidth="1"/>
    <col min="12557" max="12557" width="13.75" style="2960" customWidth="1"/>
    <col min="12558" max="12800" width="9" style="2960"/>
    <col min="12801" max="12801" width="4.875" style="2960" customWidth="1"/>
    <col min="12802" max="12802" width="13.25" style="2960" customWidth="1"/>
    <col min="12803" max="12803" width="15.625" style="2960" customWidth="1"/>
    <col min="12804" max="12804" width="9.375" style="2960" bestFit="1" customWidth="1"/>
    <col min="12805" max="12805" width="13.5" style="2960" customWidth="1"/>
    <col min="12806" max="12806" width="9" style="2960"/>
    <col min="12807" max="12807" width="9.375" style="2960" bestFit="1" customWidth="1"/>
    <col min="12808" max="12809" width="9" style="2960"/>
    <col min="12810" max="12810" width="9.375" style="2960" bestFit="1" customWidth="1"/>
    <col min="12811" max="12811" width="4" style="2960" customWidth="1"/>
    <col min="12812" max="12812" width="5.125" style="2960" customWidth="1"/>
    <col min="12813" max="12813" width="13.75" style="2960" customWidth="1"/>
    <col min="12814" max="13056" width="9" style="2960"/>
    <col min="13057" max="13057" width="4.875" style="2960" customWidth="1"/>
    <col min="13058" max="13058" width="13.25" style="2960" customWidth="1"/>
    <col min="13059" max="13059" width="15.625" style="2960" customWidth="1"/>
    <col min="13060" max="13060" width="9.375" style="2960" bestFit="1" customWidth="1"/>
    <col min="13061" max="13061" width="13.5" style="2960" customWidth="1"/>
    <col min="13062" max="13062" width="9" style="2960"/>
    <col min="13063" max="13063" width="9.375" style="2960" bestFit="1" customWidth="1"/>
    <col min="13064" max="13065" width="9" style="2960"/>
    <col min="13066" max="13066" width="9.375" style="2960" bestFit="1" customWidth="1"/>
    <col min="13067" max="13067" width="4" style="2960" customWidth="1"/>
    <col min="13068" max="13068" width="5.125" style="2960" customWidth="1"/>
    <col min="13069" max="13069" width="13.75" style="2960" customWidth="1"/>
    <col min="13070" max="13312" width="9" style="2960"/>
    <col min="13313" max="13313" width="4.875" style="2960" customWidth="1"/>
    <col min="13314" max="13314" width="13.25" style="2960" customWidth="1"/>
    <col min="13315" max="13315" width="15.625" style="2960" customWidth="1"/>
    <col min="13316" max="13316" width="9.375" style="2960" bestFit="1" customWidth="1"/>
    <col min="13317" max="13317" width="13.5" style="2960" customWidth="1"/>
    <col min="13318" max="13318" width="9" style="2960"/>
    <col min="13319" max="13319" width="9.375" style="2960" bestFit="1" customWidth="1"/>
    <col min="13320" max="13321" width="9" style="2960"/>
    <col min="13322" max="13322" width="9.375" style="2960" bestFit="1" customWidth="1"/>
    <col min="13323" max="13323" width="4" style="2960" customWidth="1"/>
    <col min="13324" max="13324" width="5.125" style="2960" customWidth="1"/>
    <col min="13325" max="13325" width="13.75" style="2960" customWidth="1"/>
    <col min="13326" max="13568" width="9" style="2960"/>
    <col min="13569" max="13569" width="4.875" style="2960" customWidth="1"/>
    <col min="13570" max="13570" width="13.25" style="2960" customWidth="1"/>
    <col min="13571" max="13571" width="15.625" style="2960" customWidth="1"/>
    <col min="13572" max="13572" width="9.375" style="2960" bestFit="1" customWidth="1"/>
    <col min="13573" max="13573" width="13.5" style="2960" customWidth="1"/>
    <col min="13574" max="13574" width="9" style="2960"/>
    <col min="13575" max="13575" width="9.375" style="2960" bestFit="1" customWidth="1"/>
    <col min="13576" max="13577" width="9" style="2960"/>
    <col min="13578" max="13578" width="9.375" style="2960" bestFit="1" customWidth="1"/>
    <col min="13579" max="13579" width="4" style="2960" customWidth="1"/>
    <col min="13580" max="13580" width="5.125" style="2960" customWidth="1"/>
    <col min="13581" max="13581" width="13.75" style="2960" customWidth="1"/>
    <col min="13582" max="13824" width="9" style="2960"/>
    <col min="13825" max="13825" width="4.875" style="2960" customWidth="1"/>
    <col min="13826" max="13826" width="13.25" style="2960" customWidth="1"/>
    <col min="13827" max="13827" width="15.625" style="2960" customWidth="1"/>
    <col min="13828" max="13828" width="9.375" style="2960" bestFit="1" customWidth="1"/>
    <col min="13829" max="13829" width="13.5" style="2960" customWidth="1"/>
    <col min="13830" max="13830" width="9" style="2960"/>
    <col min="13831" max="13831" width="9.375" style="2960" bestFit="1" customWidth="1"/>
    <col min="13832" max="13833" width="9" style="2960"/>
    <col min="13834" max="13834" width="9.375" style="2960" bestFit="1" customWidth="1"/>
    <col min="13835" max="13835" width="4" style="2960" customWidth="1"/>
    <col min="13836" max="13836" width="5.125" style="2960" customWidth="1"/>
    <col min="13837" max="13837" width="13.75" style="2960" customWidth="1"/>
    <col min="13838" max="14080" width="9" style="2960"/>
    <col min="14081" max="14081" width="4.875" style="2960" customWidth="1"/>
    <col min="14082" max="14082" width="13.25" style="2960" customWidth="1"/>
    <col min="14083" max="14083" width="15.625" style="2960" customWidth="1"/>
    <col min="14084" max="14084" width="9.375" style="2960" bestFit="1" customWidth="1"/>
    <col min="14085" max="14085" width="13.5" style="2960" customWidth="1"/>
    <col min="14086" max="14086" width="9" style="2960"/>
    <col min="14087" max="14087" width="9.375" style="2960" bestFit="1" customWidth="1"/>
    <col min="14088" max="14089" width="9" style="2960"/>
    <col min="14090" max="14090" width="9.375" style="2960" bestFit="1" customWidth="1"/>
    <col min="14091" max="14091" width="4" style="2960" customWidth="1"/>
    <col min="14092" max="14092" width="5.125" style="2960" customWidth="1"/>
    <col min="14093" max="14093" width="13.75" style="2960" customWidth="1"/>
    <col min="14094" max="14336" width="9" style="2960"/>
    <col min="14337" max="14337" width="4.875" style="2960" customWidth="1"/>
    <col min="14338" max="14338" width="13.25" style="2960" customWidth="1"/>
    <col min="14339" max="14339" width="15.625" style="2960" customWidth="1"/>
    <col min="14340" max="14340" width="9.375" style="2960" bestFit="1" customWidth="1"/>
    <col min="14341" max="14341" width="13.5" style="2960" customWidth="1"/>
    <col min="14342" max="14342" width="9" style="2960"/>
    <col min="14343" max="14343" width="9.375" style="2960" bestFit="1" customWidth="1"/>
    <col min="14344" max="14345" width="9" style="2960"/>
    <col min="14346" max="14346" width="9.375" style="2960" bestFit="1" customWidth="1"/>
    <col min="14347" max="14347" width="4" style="2960" customWidth="1"/>
    <col min="14348" max="14348" width="5.125" style="2960" customWidth="1"/>
    <col min="14349" max="14349" width="13.75" style="2960" customWidth="1"/>
    <col min="14350" max="14592" width="9" style="2960"/>
    <col min="14593" max="14593" width="4.875" style="2960" customWidth="1"/>
    <col min="14594" max="14594" width="13.25" style="2960" customWidth="1"/>
    <col min="14595" max="14595" width="15.625" style="2960" customWidth="1"/>
    <col min="14596" max="14596" width="9.375" style="2960" bestFit="1" customWidth="1"/>
    <col min="14597" max="14597" width="13.5" style="2960" customWidth="1"/>
    <col min="14598" max="14598" width="9" style="2960"/>
    <col min="14599" max="14599" width="9.375" style="2960" bestFit="1" customWidth="1"/>
    <col min="14600" max="14601" width="9" style="2960"/>
    <col min="14602" max="14602" width="9.375" style="2960" bestFit="1" customWidth="1"/>
    <col min="14603" max="14603" width="4" style="2960" customWidth="1"/>
    <col min="14604" max="14604" width="5.125" style="2960" customWidth="1"/>
    <col min="14605" max="14605" width="13.75" style="2960" customWidth="1"/>
    <col min="14606" max="14848" width="9" style="2960"/>
    <col min="14849" max="14849" width="4.875" style="2960" customWidth="1"/>
    <col min="14850" max="14850" width="13.25" style="2960" customWidth="1"/>
    <col min="14851" max="14851" width="15.625" style="2960" customWidth="1"/>
    <col min="14852" max="14852" width="9.375" style="2960" bestFit="1" customWidth="1"/>
    <col min="14853" max="14853" width="13.5" style="2960" customWidth="1"/>
    <col min="14854" max="14854" width="9" style="2960"/>
    <col min="14855" max="14855" width="9.375" style="2960" bestFit="1" customWidth="1"/>
    <col min="14856" max="14857" width="9" style="2960"/>
    <col min="14858" max="14858" width="9.375" style="2960" bestFit="1" customWidth="1"/>
    <col min="14859" max="14859" width="4" style="2960" customWidth="1"/>
    <col min="14860" max="14860" width="5.125" style="2960" customWidth="1"/>
    <col min="14861" max="14861" width="13.75" style="2960" customWidth="1"/>
    <col min="14862" max="15104" width="9" style="2960"/>
    <col min="15105" max="15105" width="4.875" style="2960" customWidth="1"/>
    <col min="15106" max="15106" width="13.25" style="2960" customWidth="1"/>
    <col min="15107" max="15107" width="15.625" style="2960" customWidth="1"/>
    <col min="15108" max="15108" width="9.375" style="2960" bestFit="1" customWidth="1"/>
    <col min="15109" max="15109" width="13.5" style="2960" customWidth="1"/>
    <col min="15110" max="15110" width="9" style="2960"/>
    <col min="15111" max="15111" width="9.375" style="2960" bestFit="1" customWidth="1"/>
    <col min="15112" max="15113" width="9" style="2960"/>
    <col min="15114" max="15114" width="9.375" style="2960" bestFit="1" customWidth="1"/>
    <col min="15115" max="15115" width="4" style="2960" customWidth="1"/>
    <col min="15116" max="15116" width="5.125" style="2960" customWidth="1"/>
    <col min="15117" max="15117" width="13.75" style="2960" customWidth="1"/>
    <col min="15118" max="15360" width="9" style="2960"/>
    <col min="15361" max="15361" width="4.875" style="2960" customWidth="1"/>
    <col min="15362" max="15362" width="13.25" style="2960" customWidth="1"/>
    <col min="15363" max="15363" width="15.625" style="2960" customWidth="1"/>
    <col min="15364" max="15364" width="9.375" style="2960" bestFit="1" customWidth="1"/>
    <col min="15365" max="15365" width="13.5" style="2960" customWidth="1"/>
    <col min="15366" max="15366" width="9" style="2960"/>
    <col min="15367" max="15367" width="9.375" style="2960" bestFit="1" customWidth="1"/>
    <col min="15368" max="15369" width="9" style="2960"/>
    <col min="15370" max="15370" width="9.375" style="2960" bestFit="1" customWidth="1"/>
    <col min="15371" max="15371" width="4" style="2960" customWidth="1"/>
    <col min="15372" max="15372" width="5.125" style="2960" customWidth="1"/>
    <col min="15373" max="15373" width="13.75" style="2960" customWidth="1"/>
    <col min="15374" max="15616" width="9" style="2960"/>
    <col min="15617" max="15617" width="4.875" style="2960" customWidth="1"/>
    <col min="15618" max="15618" width="13.25" style="2960" customWidth="1"/>
    <col min="15619" max="15619" width="15.625" style="2960" customWidth="1"/>
    <col min="15620" max="15620" width="9.375" style="2960" bestFit="1" customWidth="1"/>
    <col min="15621" max="15621" width="13.5" style="2960" customWidth="1"/>
    <col min="15622" max="15622" width="9" style="2960"/>
    <col min="15623" max="15623" width="9.375" style="2960" bestFit="1" customWidth="1"/>
    <col min="15624" max="15625" width="9" style="2960"/>
    <col min="15626" max="15626" width="9.375" style="2960" bestFit="1" customWidth="1"/>
    <col min="15627" max="15627" width="4" style="2960" customWidth="1"/>
    <col min="15628" max="15628" width="5.125" style="2960" customWidth="1"/>
    <col min="15629" max="15629" width="13.75" style="2960" customWidth="1"/>
    <col min="15630" max="15872" width="9" style="2960"/>
    <col min="15873" max="15873" width="4.875" style="2960" customWidth="1"/>
    <col min="15874" max="15874" width="13.25" style="2960" customWidth="1"/>
    <col min="15875" max="15875" width="15.625" style="2960" customWidth="1"/>
    <col min="15876" max="15876" width="9.375" style="2960" bestFit="1" customWidth="1"/>
    <col min="15877" max="15877" width="13.5" style="2960" customWidth="1"/>
    <col min="15878" max="15878" width="9" style="2960"/>
    <col min="15879" max="15879" width="9.375" style="2960" bestFit="1" customWidth="1"/>
    <col min="15880" max="15881" width="9" style="2960"/>
    <col min="15882" max="15882" width="9.375" style="2960" bestFit="1" customWidth="1"/>
    <col min="15883" max="15883" width="4" style="2960" customWidth="1"/>
    <col min="15884" max="15884" width="5.125" style="2960" customWidth="1"/>
    <col min="15885" max="15885" width="13.75" style="2960" customWidth="1"/>
    <col min="15886" max="16128" width="9" style="2960"/>
    <col min="16129" max="16129" width="4.875" style="2960" customWidth="1"/>
    <col min="16130" max="16130" width="13.25" style="2960" customWidth="1"/>
    <col min="16131" max="16131" width="15.625" style="2960" customWidth="1"/>
    <col min="16132" max="16132" width="9.375" style="2960" bestFit="1" customWidth="1"/>
    <col min="16133" max="16133" width="13.5" style="2960" customWidth="1"/>
    <col min="16134" max="16134" width="9" style="2960"/>
    <col min="16135" max="16135" width="9.375" style="2960" bestFit="1" customWidth="1"/>
    <col min="16136" max="16137" width="9" style="2960"/>
    <col min="16138" max="16138" width="9.375" style="2960" bestFit="1" customWidth="1"/>
    <col min="16139" max="16139" width="4" style="2960" customWidth="1"/>
    <col min="16140" max="16140" width="5.125" style="2960" customWidth="1"/>
    <col min="16141" max="16141" width="13.75" style="2960" customWidth="1"/>
    <col min="16142" max="16384" width="9" style="2960"/>
  </cols>
  <sheetData>
    <row r="1" spans="1:257" s="3020" customFormat="1" ht="14.25" thickBot="1">
      <c r="A1" s="3019"/>
      <c r="B1" s="3021" t="s">
        <v>2787</v>
      </c>
      <c r="C1" s="3025">
        <f>项目基本情况!D3</f>
        <v>43035</v>
      </c>
      <c r="H1" s="2959">
        <f>IF(C1&gt;C13,0,MATCH(C1,C$13:C$100,-1))+IF(SUMIF(C13:C100,C1,D13:D100)=0,13,12)</f>
        <v>13</v>
      </c>
      <c r="I1" s="2959">
        <f ca="1">MATCH(C2,H3:H7,1)+IF(SUMIF(H3:H7,C2,I3:I7)=0,2,1)</f>
        <v>5</v>
      </c>
      <c r="J1" s="3018">
        <f ca="1">MATCH(C3,H3:H7,1)+IF(SUMIF(H3:H7,C3,J3:J7)=0,2,1)</f>
        <v>2</v>
      </c>
      <c r="N1" s="2959">
        <f>IF(C1&gt;M13,0,MATCH(C1,M$13:M$100,-1))+IF(SUMIF(M13:M100,C1,N13:N100)=0,13,12)</f>
        <v>13</v>
      </c>
      <c r="P1" s="3019"/>
      <c r="Q1" s="3019"/>
      <c r="R1" s="3019"/>
      <c r="S1" s="3019"/>
      <c r="T1" s="3019"/>
      <c r="U1" s="3019"/>
      <c r="V1" s="3019"/>
      <c r="W1" s="3019"/>
      <c r="X1" s="3019"/>
      <c r="Y1" s="3019"/>
      <c r="Z1" s="3019"/>
      <c r="AA1" s="3019"/>
      <c r="AB1" s="3019"/>
      <c r="AC1" s="3019"/>
      <c r="AD1" s="3019"/>
      <c r="AE1" s="3019"/>
      <c r="AF1" s="3019"/>
      <c r="AG1" s="3019"/>
      <c r="AH1" s="3019"/>
      <c r="AI1" s="3019"/>
      <c r="AJ1" s="3019"/>
      <c r="AK1" s="3019"/>
      <c r="AL1" s="3019"/>
      <c r="AM1" s="3019"/>
      <c r="AN1" s="3019"/>
      <c r="AO1" s="3019"/>
      <c r="AP1" s="3019"/>
      <c r="AQ1" s="3019"/>
      <c r="AR1" s="3019"/>
      <c r="AS1" s="3019"/>
      <c r="AT1" s="3019"/>
      <c r="AU1" s="3019"/>
      <c r="AV1" s="3019"/>
      <c r="AW1" s="3019"/>
      <c r="AX1" s="3019"/>
      <c r="AY1" s="3019"/>
      <c r="AZ1" s="3019"/>
      <c r="BA1" s="3019"/>
      <c r="BB1" s="3019"/>
      <c r="BC1" s="3019"/>
      <c r="BD1" s="3019"/>
      <c r="BE1" s="3019"/>
      <c r="BF1" s="3019"/>
      <c r="BG1" s="3019"/>
      <c r="BH1" s="3019"/>
      <c r="BI1" s="3019"/>
      <c r="BJ1" s="3019"/>
      <c r="BK1" s="3019"/>
      <c r="BL1" s="3019"/>
      <c r="BM1" s="3019"/>
      <c r="BN1" s="3019"/>
      <c r="BO1" s="3019"/>
      <c r="BP1" s="3019"/>
      <c r="BQ1" s="3019"/>
      <c r="BR1" s="3019"/>
      <c r="BS1" s="3019"/>
      <c r="BT1" s="3019"/>
      <c r="BU1" s="3019"/>
      <c r="BV1" s="3019"/>
      <c r="BW1" s="3019"/>
      <c r="BX1" s="3019"/>
      <c r="BY1" s="3019"/>
      <c r="BZ1" s="3019"/>
      <c r="CA1" s="3019"/>
      <c r="CB1" s="3019"/>
      <c r="CC1" s="3019"/>
      <c r="CD1" s="3019"/>
      <c r="CE1" s="3019"/>
      <c r="CF1" s="3019"/>
      <c r="CG1" s="3019"/>
      <c r="CH1" s="3019"/>
      <c r="CI1" s="3019"/>
      <c r="CJ1" s="3019"/>
      <c r="CK1" s="3019"/>
      <c r="CL1" s="3019"/>
      <c r="CM1" s="3019"/>
      <c r="CN1" s="3019"/>
      <c r="CO1" s="3019"/>
      <c r="CP1" s="3019"/>
      <c r="CQ1" s="3019"/>
      <c r="CR1" s="3019"/>
      <c r="CS1" s="3019"/>
      <c r="CT1" s="3019"/>
      <c r="CU1" s="3019"/>
      <c r="CV1" s="3019"/>
      <c r="CW1" s="3019"/>
      <c r="CX1" s="3019"/>
      <c r="CY1" s="3019"/>
      <c r="CZ1" s="3019"/>
      <c r="DA1" s="3019"/>
      <c r="DB1" s="3019"/>
      <c r="DC1" s="3019"/>
      <c r="DD1" s="3019"/>
      <c r="DE1" s="3019"/>
      <c r="DF1" s="3019"/>
      <c r="DG1" s="3019"/>
      <c r="DH1" s="3019"/>
      <c r="DI1" s="3019"/>
      <c r="DJ1" s="3019"/>
      <c r="DK1" s="3019"/>
      <c r="DL1" s="3019"/>
      <c r="DM1" s="3019"/>
      <c r="DN1" s="3019"/>
      <c r="DO1" s="3019"/>
      <c r="DP1" s="3019"/>
      <c r="DQ1" s="3019"/>
      <c r="DR1" s="3019"/>
      <c r="DS1" s="3019"/>
      <c r="DT1" s="3019"/>
      <c r="DU1" s="3019"/>
      <c r="DV1" s="3019"/>
      <c r="DW1" s="3019"/>
      <c r="DX1" s="3019"/>
      <c r="DY1" s="3019"/>
      <c r="DZ1" s="3019"/>
      <c r="EA1" s="3019"/>
      <c r="EB1" s="3019"/>
      <c r="EC1" s="3019"/>
      <c r="ED1" s="3019"/>
      <c r="EE1" s="3019"/>
      <c r="EF1" s="3019"/>
      <c r="EG1" s="3019"/>
      <c r="EH1" s="3019"/>
      <c r="EI1" s="3019"/>
      <c r="EJ1" s="3019"/>
      <c r="EK1" s="3019"/>
      <c r="EL1" s="3019"/>
      <c r="EM1" s="3019"/>
      <c r="EN1" s="3019"/>
      <c r="EO1" s="3019"/>
      <c r="EP1" s="3019"/>
      <c r="EQ1" s="3019"/>
      <c r="ER1" s="3019"/>
      <c r="ES1" s="3019"/>
      <c r="ET1" s="3019"/>
      <c r="EU1" s="3019"/>
      <c r="EV1" s="3019"/>
      <c r="EW1" s="3019"/>
      <c r="EX1" s="3019"/>
      <c r="EY1" s="3019"/>
      <c r="EZ1" s="3019"/>
      <c r="FA1" s="3019"/>
      <c r="FB1" s="3019"/>
      <c r="FC1" s="3019"/>
      <c r="FD1" s="3019"/>
      <c r="FE1" s="3019"/>
      <c r="FF1" s="3019"/>
      <c r="FG1" s="3019"/>
      <c r="FH1" s="3019"/>
      <c r="FI1" s="3019"/>
      <c r="FJ1" s="3019"/>
      <c r="FK1" s="3019"/>
      <c r="FL1" s="3019"/>
      <c r="FM1" s="3019"/>
      <c r="FN1" s="3019"/>
      <c r="FO1" s="3019"/>
      <c r="FP1" s="3019"/>
      <c r="FQ1" s="3019"/>
      <c r="FR1" s="3019"/>
      <c r="FS1" s="3019"/>
      <c r="FT1" s="3019"/>
      <c r="FU1" s="3019"/>
      <c r="FV1" s="3019"/>
      <c r="FW1" s="3019"/>
      <c r="FX1" s="3019"/>
      <c r="FY1" s="3019"/>
      <c r="FZ1" s="3019"/>
      <c r="GA1" s="3019"/>
      <c r="GB1" s="3019"/>
      <c r="GC1" s="3019"/>
      <c r="GD1" s="3019"/>
      <c r="GE1" s="3019"/>
      <c r="GF1" s="3019"/>
      <c r="GG1" s="3019"/>
      <c r="GH1" s="3019"/>
      <c r="GI1" s="3019"/>
      <c r="GJ1" s="3019"/>
      <c r="GK1" s="3019"/>
      <c r="GL1" s="3019"/>
      <c r="GM1" s="3019"/>
      <c r="GN1" s="3019"/>
      <c r="GO1" s="3019"/>
      <c r="GP1" s="3019"/>
      <c r="GQ1" s="3019"/>
      <c r="GR1" s="3019"/>
      <c r="GS1" s="3019"/>
      <c r="GT1" s="3019"/>
      <c r="GU1" s="3019"/>
      <c r="GV1" s="3019"/>
      <c r="GW1" s="3019"/>
      <c r="GX1" s="3019"/>
      <c r="GY1" s="3019"/>
      <c r="GZ1" s="3019"/>
      <c r="HA1" s="3019"/>
      <c r="HB1" s="3019"/>
      <c r="HC1" s="3019"/>
      <c r="HD1" s="3019"/>
      <c r="HE1" s="3019"/>
      <c r="HF1" s="3019"/>
      <c r="HG1" s="3019"/>
      <c r="HH1" s="3019"/>
      <c r="HI1" s="3019"/>
      <c r="HJ1" s="3019"/>
      <c r="HK1" s="3019"/>
      <c r="HL1" s="3019"/>
      <c r="HM1" s="3019"/>
      <c r="HN1" s="3019"/>
      <c r="HO1" s="3019"/>
      <c r="HP1" s="3019"/>
      <c r="HQ1" s="3019"/>
      <c r="HR1" s="3019"/>
      <c r="HS1" s="3019"/>
      <c r="HT1" s="3019"/>
      <c r="HU1" s="3019"/>
      <c r="HV1" s="3019"/>
      <c r="HW1" s="3019"/>
      <c r="HX1" s="3019"/>
      <c r="HY1" s="3019"/>
      <c r="HZ1" s="3019"/>
      <c r="IA1" s="3019"/>
      <c r="IB1" s="3019"/>
      <c r="IC1" s="3019"/>
      <c r="ID1" s="3019"/>
      <c r="IE1" s="3019"/>
      <c r="IF1" s="3019"/>
      <c r="IG1" s="3019"/>
      <c r="IH1" s="3019"/>
      <c r="II1" s="3019"/>
      <c r="IJ1" s="3019"/>
      <c r="IK1" s="3019"/>
      <c r="IL1" s="3019"/>
      <c r="IM1" s="3019"/>
      <c r="IN1" s="3019"/>
      <c r="IO1" s="3019"/>
      <c r="IP1" s="3019"/>
      <c r="IQ1" s="3019"/>
      <c r="IR1" s="3019"/>
      <c r="IS1" s="3019"/>
      <c r="IT1" s="3019"/>
      <c r="IU1" s="3019"/>
      <c r="IV1" s="3019"/>
    </row>
    <row r="2" spans="1:257" s="3017" customFormat="1" ht="15" thickTop="1" thickBot="1">
      <c r="A2" s="2961"/>
      <c r="B2" s="3022" t="s">
        <v>2818</v>
      </c>
      <c r="C2" s="3026">
        <f>'数据-取费表'!B22</f>
        <v>3</v>
      </c>
      <c r="D2" s="3021" t="s">
        <v>2788</v>
      </c>
      <c r="E2" s="3024">
        <f ca="1">INDIRECT("I"&amp;$I$1)/100</f>
        <v>4.7500000000000001E-2</v>
      </c>
      <c r="G2" s="2961"/>
      <c r="H2" s="2961"/>
      <c r="I2" s="2961" t="s">
        <v>2789</v>
      </c>
      <c r="K2" s="2961"/>
      <c r="L2" s="2961"/>
      <c r="M2" s="2961"/>
      <c r="N2" s="2961" t="s">
        <v>2790</v>
      </c>
      <c r="O2" s="2961"/>
      <c r="P2" s="2961"/>
      <c r="Q2" s="2961"/>
      <c r="R2" s="2961"/>
      <c r="S2" s="2961"/>
      <c r="T2" s="2961"/>
      <c r="U2" s="2961"/>
      <c r="V2" s="2961"/>
      <c r="W2" s="2961"/>
      <c r="X2" s="2961"/>
      <c r="Y2" s="2961"/>
      <c r="Z2" s="2961"/>
      <c r="AA2" s="2961"/>
      <c r="AB2" s="2961"/>
      <c r="AC2" s="2961"/>
      <c r="AD2" s="2961"/>
      <c r="AE2" s="2961"/>
      <c r="AF2" s="2961"/>
      <c r="AG2" s="2961"/>
      <c r="AH2" s="2961"/>
      <c r="AI2" s="2961"/>
      <c r="AJ2" s="2961"/>
      <c r="AK2" s="2961"/>
      <c r="AL2" s="2961"/>
      <c r="AM2" s="2961"/>
      <c r="AN2" s="2961"/>
      <c r="AO2" s="2961"/>
      <c r="AP2" s="2961"/>
      <c r="AQ2" s="2961"/>
      <c r="AR2" s="2961"/>
      <c r="AS2" s="2961"/>
      <c r="AT2" s="2961"/>
      <c r="AU2" s="2961"/>
      <c r="AV2" s="2961"/>
      <c r="AW2" s="2961"/>
      <c r="AX2" s="2961"/>
      <c r="AY2" s="2961"/>
      <c r="AZ2" s="2961"/>
      <c r="BA2" s="2961"/>
      <c r="BB2" s="2961"/>
      <c r="BC2" s="2961"/>
      <c r="BD2" s="2961"/>
      <c r="BE2" s="2961"/>
      <c r="BF2" s="2961"/>
      <c r="BG2" s="2961"/>
      <c r="BH2" s="2961"/>
      <c r="BI2" s="2961"/>
      <c r="BJ2" s="2961"/>
      <c r="BK2" s="2961"/>
      <c r="BL2" s="2961"/>
      <c r="BM2" s="2961"/>
      <c r="BN2" s="2961"/>
      <c r="BO2" s="2961"/>
      <c r="BP2" s="2961"/>
      <c r="BQ2" s="2961"/>
      <c r="BR2" s="2961"/>
      <c r="BS2" s="2961"/>
      <c r="BT2" s="2961"/>
      <c r="BU2" s="2961"/>
      <c r="BV2" s="2961"/>
      <c r="BW2" s="2961"/>
      <c r="BX2" s="2961"/>
      <c r="BY2" s="2961"/>
      <c r="BZ2" s="2961"/>
      <c r="CA2" s="2961"/>
      <c r="CB2" s="2961"/>
      <c r="CC2" s="2961"/>
      <c r="CD2" s="2961"/>
      <c r="CE2" s="2961"/>
      <c r="CF2" s="2961"/>
      <c r="CG2" s="2961"/>
      <c r="CH2" s="2961"/>
      <c r="CI2" s="2961"/>
      <c r="CJ2" s="2961"/>
      <c r="CK2" s="2961"/>
      <c r="CL2" s="2961"/>
      <c r="CM2" s="2961"/>
      <c r="CN2" s="2961"/>
      <c r="CO2" s="2961"/>
      <c r="CP2" s="2961"/>
      <c r="CQ2" s="2961"/>
      <c r="CR2" s="2961"/>
      <c r="CS2" s="2961"/>
      <c r="CT2" s="2961"/>
      <c r="CU2" s="2961"/>
      <c r="CV2" s="2961"/>
      <c r="CW2" s="2961"/>
      <c r="CX2" s="2961"/>
      <c r="CY2" s="2961"/>
      <c r="CZ2" s="2961"/>
      <c r="DA2" s="2961"/>
      <c r="DB2" s="2961"/>
      <c r="DC2" s="2961"/>
      <c r="DD2" s="2961"/>
      <c r="DE2" s="2961"/>
      <c r="DF2" s="2961"/>
      <c r="DG2" s="2961"/>
      <c r="DH2" s="2961"/>
      <c r="DI2" s="2961"/>
      <c r="DJ2" s="2961"/>
      <c r="DK2" s="2961"/>
      <c r="DL2" s="2961"/>
      <c r="DM2" s="2961"/>
      <c r="DN2" s="2961"/>
      <c r="DO2" s="2961"/>
      <c r="DP2" s="2961"/>
      <c r="DQ2" s="2961"/>
      <c r="DR2" s="2961"/>
      <c r="DS2" s="2961"/>
      <c r="DT2" s="2961"/>
      <c r="DU2" s="2961"/>
      <c r="DV2" s="2961"/>
      <c r="DW2" s="2961"/>
      <c r="DX2" s="2961"/>
      <c r="DY2" s="2961"/>
      <c r="DZ2" s="2961"/>
      <c r="EA2" s="2961"/>
      <c r="EB2" s="2961"/>
      <c r="EC2" s="2961"/>
      <c r="ED2" s="2961"/>
      <c r="EE2" s="2961"/>
      <c r="EF2" s="2961"/>
      <c r="EG2" s="2961"/>
      <c r="EH2" s="2961"/>
      <c r="EI2" s="2961"/>
      <c r="EJ2" s="2961"/>
      <c r="EK2" s="2961"/>
      <c r="EL2" s="2961"/>
      <c r="EM2" s="2961"/>
      <c r="EN2" s="2961"/>
      <c r="EO2" s="2961"/>
      <c r="EP2" s="2961"/>
      <c r="EQ2" s="2961"/>
      <c r="ER2" s="2961"/>
      <c r="ES2" s="2961"/>
      <c r="ET2" s="2961"/>
      <c r="EU2" s="2961"/>
      <c r="EV2" s="2961"/>
      <c r="EW2" s="2961"/>
      <c r="EX2" s="2961"/>
      <c r="EY2" s="2961"/>
      <c r="EZ2" s="2961"/>
      <c r="FA2" s="2961"/>
      <c r="FB2" s="2961"/>
      <c r="FC2" s="2961"/>
      <c r="FD2" s="2961"/>
      <c r="FE2" s="2961"/>
      <c r="FF2" s="2961"/>
      <c r="FG2" s="2961"/>
      <c r="FH2" s="2961"/>
      <c r="FI2" s="2961"/>
      <c r="FJ2" s="2961"/>
      <c r="FK2" s="2961"/>
      <c r="FL2" s="2961"/>
      <c r="FM2" s="2961"/>
      <c r="FN2" s="2961"/>
      <c r="FO2" s="2961"/>
      <c r="FP2" s="2961"/>
      <c r="FQ2" s="2961"/>
      <c r="FR2" s="2961"/>
      <c r="FS2" s="2961"/>
      <c r="FT2" s="2961"/>
      <c r="FU2" s="2961"/>
      <c r="FV2" s="2961"/>
      <c r="FW2" s="2961"/>
      <c r="FX2" s="2961"/>
      <c r="FY2" s="2961"/>
      <c r="FZ2" s="2961"/>
      <c r="GA2" s="2961"/>
      <c r="GB2" s="2961"/>
      <c r="GC2" s="2961"/>
      <c r="GD2" s="2961"/>
      <c r="GE2" s="2961"/>
      <c r="GF2" s="2961"/>
      <c r="GG2" s="2961"/>
      <c r="GH2" s="2961"/>
      <c r="GI2" s="2961"/>
      <c r="GJ2" s="2961"/>
      <c r="GK2" s="2961"/>
      <c r="GL2" s="2961"/>
      <c r="GM2" s="2961"/>
      <c r="GN2" s="2961"/>
      <c r="GO2" s="2961"/>
      <c r="GP2" s="2961"/>
      <c r="GQ2" s="2961"/>
      <c r="GR2" s="2961"/>
      <c r="GS2" s="2961"/>
      <c r="GT2" s="2961"/>
      <c r="GU2" s="2961"/>
      <c r="GV2" s="2961"/>
      <c r="GW2" s="2961"/>
      <c r="GX2" s="2961"/>
      <c r="GY2" s="2961"/>
      <c r="GZ2" s="2961"/>
      <c r="HA2" s="2961"/>
      <c r="HB2" s="2961"/>
      <c r="HC2" s="2961"/>
      <c r="HD2" s="2961"/>
      <c r="HE2" s="2961"/>
      <c r="HF2" s="2961"/>
      <c r="HG2" s="2961"/>
      <c r="HH2" s="2961"/>
      <c r="HI2" s="2961"/>
      <c r="HJ2" s="2961"/>
      <c r="HK2" s="2961"/>
      <c r="HL2" s="2961"/>
      <c r="HM2" s="2961"/>
      <c r="HN2" s="2961"/>
      <c r="HO2" s="2961"/>
      <c r="HP2" s="2961"/>
      <c r="HQ2" s="2961"/>
      <c r="HR2" s="2961"/>
      <c r="HS2" s="2961"/>
      <c r="HT2" s="2961"/>
      <c r="HU2" s="2961"/>
      <c r="HV2" s="2961"/>
      <c r="HW2" s="2961"/>
      <c r="HX2" s="2961"/>
      <c r="HY2" s="2961"/>
      <c r="HZ2" s="2961"/>
      <c r="IA2" s="2961"/>
      <c r="IB2" s="2961"/>
      <c r="IC2" s="2961"/>
      <c r="ID2" s="2961"/>
      <c r="IE2" s="2961"/>
      <c r="IF2" s="2961"/>
      <c r="IG2" s="2961"/>
      <c r="IH2" s="2961"/>
      <c r="II2" s="2961"/>
      <c r="IJ2" s="2961"/>
      <c r="IK2" s="2961"/>
      <c r="IL2" s="2961"/>
      <c r="IM2" s="2961"/>
      <c r="IN2" s="2961"/>
      <c r="IO2" s="2961"/>
      <c r="IP2" s="2961"/>
      <c r="IQ2" s="2961"/>
      <c r="IR2" s="2961"/>
      <c r="IS2" s="2961"/>
      <c r="IT2" s="2961"/>
      <c r="IU2" s="2961"/>
      <c r="IV2" s="2961"/>
      <c r="IW2" s="2961"/>
    </row>
    <row r="3" spans="1:257" s="3017" customFormat="1">
      <c r="A3" s="2962"/>
      <c r="B3" s="3021" t="s">
        <v>2820</v>
      </c>
      <c r="C3" s="3023">
        <f>'数据-取费表'!B19</f>
        <v>0</v>
      </c>
      <c r="D3" s="3021" t="s">
        <v>2788</v>
      </c>
      <c r="E3" s="3024">
        <f ca="1">INDIRECT("J"&amp;$J$1)/100</f>
        <v>0</v>
      </c>
      <c r="G3" s="2963" t="s">
        <v>2791</v>
      </c>
      <c r="H3" s="2964">
        <v>0</v>
      </c>
      <c r="I3" s="2965">
        <f ca="1">INDIRECT("d"&amp;$H$1)</f>
        <v>4.3499999999999996</v>
      </c>
      <c r="J3" s="2965">
        <f ca="1">INDIRECT("d"&amp;$H$1)</f>
        <v>4.3499999999999996</v>
      </c>
      <c r="K3" s="2962"/>
      <c r="L3" s="2962"/>
      <c r="M3" s="2966">
        <v>0.5</v>
      </c>
      <c r="N3" s="2967">
        <f ca="1">INDIRECT("p"&amp;$N$1)</f>
        <v>1.3</v>
      </c>
      <c r="O3" s="2962"/>
      <c r="P3" s="2962"/>
      <c r="Q3" s="2962"/>
      <c r="R3" s="2962"/>
      <c r="S3" s="2962"/>
      <c r="T3" s="2962"/>
      <c r="U3" s="2962"/>
      <c r="V3" s="2962"/>
      <c r="W3" s="2962"/>
      <c r="X3" s="2962"/>
      <c r="Y3" s="2962"/>
      <c r="Z3" s="2962"/>
      <c r="AA3" s="2962"/>
      <c r="AB3" s="2962"/>
      <c r="AC3" s="2962"/>
      <c r="AD3" s="2962"/>
      <c r="AE3" s="2962"/>
      <c r="AF3" s="2962"/>
      <c r="AG3" s="2962"/>
      <c r="AH3" s="2962"/>
      <c r="AI3" s="2962"/>
      <c r="AJ3" s="2962"/>
      <c r="AK3" s="2962"/>
      <c r="AL3" s="2962"/>
      <c r="AM3" s="2962"/>
      <c r="AN3" s="2962"/>
      <c r="AO3" s="2962"/>
      <c r="AP3" s="2962"/>
      <c r="AQ3" s="2962"/>
      <c r="AR3" s="2962"/>
      <c r="AS3" s="2962"/>
      <c r="AT3" s="2962"/>
      <c r="AU3" s="2962"/>
      <c r="AV3" s="2962"/>
      <c r="AW3" s="2962"/>
      <c r="AX3" s="2962"/>
      <c r="AY3" s="2962"/>
      <c r="AZ3" s="2962"/>
      <c r="BA3" s="2962"/>
      <c r="BB3" s="2962"/>
      <c r="BC3" s="2962"/>
      <c r="BD3" s="2962"/>
      <c r="BE3" s="2962"/>
      <c r="BF3" s="2962"/>
      <c r="BG3" s="2962"/>
      <c r="BH3" s="2962"/>
      <c r="BI3" s="2962"/>
      <c r="BJ3" s="2962"/>
      <c r="BK3" s="2962"/>
      <c r="BL3" s="2962"/>
      <c r="BM3" s="2962"/>
      <c r="BN3" s="2962"/>
      <c r="BO3" s="2962"/>
      <c r="BP3" s="2962"/>
      <c r="BQ3" s="2962"/>
      <c r="BR3" s="2962"/>
      <c r="BS3" s="2962"/>
      <c r="BT3" s="2962"/>
      <c r="BU3" s="2962"/>
      <c r="BV3" s="2962"/>
      <c r="BW3" s="2962"/>
      <c r="BX3" s="2962"/>
      <c r="BY3" s="2962"/>
      <c r="BZ3" s="2962"/>
      <c r="CA3" s="2962"/>
      <c r="CB3" s="2962"/>
      <c r="CC3" s="2962"/>
      <c r="CD3" s="2962"/>
      <c r="CE3" s="2962"/>
      <c r="CF3" s="2962"/>
      <c r="CG3" s="2962"/>
      <c r="CH3" s="2962"/>
      <c r="CI3" s="2962"/>
      <c r="CJ3" s="2962"/>
      <c r="CK3" s="2962"/>
      <c r="CL3" s="2962"/>
      <c r="CM3" s="2962"/>
      <c r="CN3" s="2962"/>
      <c r="CO3" s="2962"/>
      <c r="CP3" s="2962"/>
      <c r="CQ3" s="2962"/>
      <c r="CR3" s="2962"/>
      <c r="CS3" s="2962"/>
      <c r="CT3" s="2962"/>
      <c r="CU3" s="2962"/>
      <c r="CV3" s="2962"/>
      <c r="CW3" s="2962"/>
      <c r="CX3" s="2962"/>
      <c r="CY3" s="2962"/>
      <c r="CZ3" s="2962"/>
      <c r="DA3" s="2962"/>
      <c r="DB3" s="2962"/>
      <c r="DC3" s="2962"/>
      <c r="DD3" s="2962"/>
      <c r="DE3" s="2962"/>
      <c r="DF3" s="2962"/>
      <c r="DG3" s="2962"/>
      <c r="DH3" s="2962"/>
      <c r="DI3" s="2962"/>
      <c r="DJ3" s="2962"/>
      <c r="DK3" s="2962"/>
      <c r="DL3" s="2962"/>
      <c r="DM3" s="2962"/>
      <c r="DN3" s="2962"/>
      <c r="DO3" s="2962"/>
      <c r="DP3" s="2962"/>
      <c r="DQ3" s="2962"/>
      <c r="DR3" s="2962"/>
      <c r="DS3" s="2962"/>
      <c r="DT3" s="2962"/>
      <c r="DU3" s="2962"/>
      <c r="DV3" s="2962"/>
      <c r="DW3" s="2962"/>
      <c r="DX3" s="2962"/>
      <c r="DY3" s="2962"/>
      <c r="DZ3" s="2962"/>
      <c r="EA3" s="2962"/>
      <c r="EB3" s="2962"/>
      <c r="EC3" s="2962"/>
      <c r="ED3" s="2962"/>
      <c r="EE3" s="2962"/>
      <c r="EF3" s="2962"/>
      <c r="EG3" s="2962"/>
      <c r="EH3" s="2962"/>
      <c r="EI3" s="2962"/>
      <c r="EJ3" s="2962"/>
      <c r="EK3" s="2962"/>
      <c r="EL3" s="2962"/>
      <c r="EM3" s="2962"/>
      <c r="EN3" s="2962"/>
      <c r="EO3" s="2962"/>
      <c r="EP3" s="2962"/>
      <c r="EQ3" s="2962"/>
      <c r="ER3" s="2962"/>
      <c r="ES3" s="2962"/>
      <c r="ET3" s="2962"/>
      <c r="EU3" s="2962"/>
      <c r="EV3" s="2962"/>
      <c r="EW3" s="2962"/>
      <c r="EX3" s="2962"/>
      <c r="EY3" s="2962"/>
      <c r="EZ3" s="2962"/>
      <c r="FA3" s="2962"/>
      <c r="FB3" s="2962"/>
      <c r="FC3" s="2962"/>
      <c r="FD3" s="2962"/>
      <c r="FE3" s="2962"/>
      <c r="FF3" s="2962"/>
      <c r="FG3" s="2962"/>
      <c r="FH3" s="2962"/>
      <c r="FI3" s="2962"/>
      <c r="FJ3" s="2962"/>
      <c r="FK3" s="2962"/>
      <c r="FL3" s="2962"/>
      <c r="FM3" s="2962"/>
      <c r="FN3" s="2962"/>
      <c r="FO3" s="2962"/>
      <c r="FP3" s="2962"/>
      <c r="FQ3" s="2962"/>
      <c r="FR3" s="2962"/>
      <c r="FS3" s="2962"/>
      <c r="FT3" s="2962"/>
      <c r="FU3" s="2962"/>
      <c r="FV3" s="2962"/>
      <c r="FW3" s="2962"/>
      <c r="FX3" s="2962"/>
      <c r="FY3" s="2962"/>
      <c r="FZ3" s="2962"/>
      <c r="GA3" s="2962"/>
      <c r="GB3" s="2962"/>
      <c r="GC3" s="2962"/>
      <c r="GD3" s="2962"/>
      <c r="GE3" s="2962"/>
      <c r="GF3" s="2962"/>
      <c r="GG3" s="2962"/>
      <c r="GH3" s="2962"/>
      <c r="GI3" s="2962"/>
      <c r="GJ3" s="2962"/>
      <c r="GK3" s="2962"/>
      <c r="GL3" s="2962"/>
      <c r="GM3" s="2962"/>
      <c r="GN3" s="2962"/>
      <c r="GO3" s="2962"/>
      <c r="GP3" s="2962"/>
      <c r="GQ3" s="2962"/>
      <c r="GR3" s="2962"/>
      <c r="GS3" s="2962"/>
      <c r="GT3" s="2962"/>
      <c r="GU3" s="2962"/>
      <c r="GV3" s="2962"/>
      <c r="GW3" s="2962"/>
      <c r="GX3" s="2962"/>
      <c r="GY3" s="2962"/>
      <c r="GZ3" s="2962"/>
      <c r="HA3" s="2962"/>
      <c r="HB3" s="2962"/>
      <c r="HC3" s="2962"/>
      <c r="HD3" s="2962"/>
      <c r="HE3" s="2962"/>
      <c r="HF3" s="2962"/>
      <c r="HG3" s="2962"/>
      <c r="HH3" s="2962"/>
      <c r="HI3" s="2962"/>
      <c r="HJ3" s="2962"/>
      <c r="HK3" s="2962"/>
      <c r="HL3" s="2962"/>
      <c r="HM3" s="2962"/>
      <c r="HN3" s="2962"/>
      <c r="HO3" s="2962"/>
      <c r="HP3" s="2962"/>
      <c r="HQ3" s="2962"/>
      <c r="HR3" s="2962"/>
      <c r="HS3" s="2962"/>
      <c r="HT3" s="2962"/>
      <c r="HU3" s="2962"/>
      <c r="HV3" s="2962"/>
      <c r="HW3" s="2962"/>
      <c r="HX3" s="2962"/>
      <c r="HY3" s="2962"/>
      <c r="HZ3" s="2962"/>
      <c r="IA3" s="2962"/>
      <c r="IB3" s="2962"/>
      <c r="IC3" s="2962"/>
      <c r="ID3" s="2962"/>
      <c r="IE3" s="2962"/>
      <c r="IF3" s="2962"/>
      <c r="IG3" s="2962"/>
      <c r="IH3" s="2962"/>
      <c r="II3" s="2962"/>
      <c r="IJ3" s="2962"/>
      <c r="IK3" s="2962"/>
      <c r="IL3" s="2962"/>
      <c r="IM3" s="2962"/>
      <c r="IN3" s="2962"/>
      <c r="IO3" s="2962"/>
      <c r="IP3" s="2962"/>
      <c r="IQ3" s="2962"/>
      <c r="IR3" s="2962"/>
      <c r="IS3" s="2962"/>
      <c r="IT3" s="2962"/>
      <c r="IU3" s="2962"/>
      <c r="IV3" s="2962"/>
    </row>
    <row r="4" spans="1:257" s="3017" customFormat="1">
      <c r="A4" s="2962"/>
      <c r="B4" s="3021" t="s">
        <v>2819</v>
      </c>
      <c r="C4" s="3024">
        <f ca="1">N4/100</f>
        <v>1.4999999999999999E-2</v>
      </c>
      <c r="G4" s="2969" t="s">
        <v>2792</v>
      </c>
      <c r="H4" s="2970">
        <v>0.5</v>
      </c>
      <c r="I4" s="2971">
        <f ca="1">INDIRECT("e"&amp;$H$1)</f>
        <v>4.3499999999999996</v>
      </c>
      <c r="J4" s="2971">
        <f ca="1">INDIRECT("e"&amp;$H$1)</f>
        <v>4.3499999999999996</v>
      </c>
      <c r="K4" s="2962"/>
      <c r="L4" s="2962"/>
      <c r="M4" s="2972">
        <v>1</v>
      </c>
      <c r="N4" s="2973">
        <f ca="1">INDIRECT("q"&amp;$N$1)</f>
        <v>1.5</v>
      </c>
      <c r="O4" s="2962"/>
      <c r="P4" s="2962"/>
      <c r="Q4" s="2962"/>
      <c r="R4" s="2962"/>
      <c r="S4" s="2962"/>
      <c r="T4" s="2962"/>
      <c r="U4" s="2962"/>
      <c r="V4" s="2962"/>
      <c r="W4" s="2962"/>
      <c r="X4" s="2962"/>
      <c r="Y4" s="2962"/>
      <c r="Z4" s="2962"/>
      <c r="AA4" s="2962"/>
      <c r="AB4" s="2962"/>
      <c r="AC4" s="2962"/>
      <c r="AD4" s="2962"/>
      <c r="AE4" s="2962"/>
      <c r="AF4" s="2962"/>
      <c r="AG4" s="2962"/>
      <c r="AH4" s="2962"/>
      <c r="AI4" s="2962"/>
      <c r="AJ4" s="2962"/>
      <c r="AK4" s="2962"/>
      <c r="AL4" s="2962"/>
      <c r="AM4" s="2962"/>
      <c r="AN4" s="2962"/>
      <c r="AO4" s="2962"/>
      <c r="AP4" s="2962"/>
      <c r="AQ4" s="2962"/>
      <c r="AR4" s="2962"/>
      <c r="AS4" s="2962"/>
      <c r="AT4" s="2962"/>
      <c r="AU4" s="2962"/>
      <c r="AV4" s="2962"/>
      <c r="AW4" s="2962"/>
      <c r="AX4" s="2962"/>
      <c r="AY4" s="2962"/>
      <c r="AZ4" s="2962"/>
      <c r="BA4" s="2962"/>
      <c r="BB4" s="2962"/>
      <c r="BC4" s="2962"/>
      <c r="BD4" s="2962"/>
      <c r="BE4" s="2962"/>
      <c r="BF4" s="2962"/>
      <c r="BG4" s="2962"/>
      <c r="BH4" s="2962"/>
      <c r="BI4" s="2962"/>
      <c r="BJ4" s="2962"/>
      <c r="BK4" s="2962"/>
      <c r="BL4" s="2962"/>
      <c r="BM4" s="2962"/>
      <c r="BN4" s="2962"/>
      <c r="BO4" s="2962"/>
      <c r="BP4" s="2962"/>
      <c r="BQ4" s="2962"/>
      <c r="BR4" s="2962"/>
      <c r="BS4" s="2962"/>
      <c r="BT4" s="2962"/>
      <c r="BU4" s="2962"/>
      <c r="BV4" s="2962"/>
      <c r="BW4" s="2962"/>
      <c r="BX4" s="2962"/>
      <c r="BY4" s="2962"/>
      <c r="BZ4" s="2962"/>
      <c r="CA4" s="2962"/>
      <c r="CB4" s="2962"/>
      <c r="CC4" s="2962"/>
      <c r="CD4" s="2962"/>
      <c r="CE4" s="2962"/>
      <c r="CF4" s="2962"/>
      <c r="CG4" s="2962"/>
      <c r="CH4" s="2962"/>
      <c r="CI4" s="2962"/>
      <c r="CJ4" s="2962"/>
      <c r="CK4" s="2962"/>
      <c r="CL4" s="2962"/>
      <c r="CM4" s="2962"/>
      <c r="CN4" s="2962"/>
      <c r="CO4" s="2962"/>
      <c r="CP4" s="2962"/>
      <c r="CQ4" s="2962"/>
      <c r="CR4" s="2962"/>
      <c r="CS4" s="2962"/>
      <c r="CT4" s="2962"/>
      <c r="CU4" s="2962"/>
      <c r="CV4" s="2962"/>
      <c r="CW4" s="2962"/>
      <c r="CX4" s="2962"/>
      <c r="CY4" s="2962"/>
      <c r="CZ4" s="2962"/>
      <c r="DA4" s="2962"/>
      <c r="DB4" s="2962"/>
      <c r="DC4" s="2962"/>
      <c r="DD4" s="2962"/>
      <c r="DE4" s="2962"/>
      <c r="DF4" s="2962"/>
      <c r="DG4" s="2962"/>
      <c r="DH4" s="2962"/>
      <c r="DI4" s="2962"/>
      <c r="DJ4" s="2962"/>
      <c r="DK4" s="2962"/>
      <c r="DL4" s="2962"/>
      <c r="DM4" s="2962"/>
      <c r="DN4" s="2962"/>
      <c r="DO4" s="2962"/>
      <c r="DP4" s="2962"/>
      <c r="DQ4" s="2962"/>
      <c r="DR4" s="2962"/>
      <c r="DS4" s="2962"/>
      <c r="DT4" s="2962"/>
      <c r="DU4" s="2962"/>
      <c r="DV4" s="2962"/>
      <c r="DW4" s="2962"/>
      <c r="DX4" s="2962"/>
      <c r="DY4" s="2962"/>
      <c r="DZ4" s="2962"/>
      <c r="EA4" s="2962"/>
      <c r="EB4" s="2962"/>
      <c r="EC4" s="2962"/>
      <c r="ED4" s="2962"/>
      <c r="EE4" s="2962"/>
      <c r="EF4" s="2962"/>
      <c r="EG4" s="2962"/>
      <c r="EH4" s="2962"/>
      <c r="EI4" s="2962"/>
      <c r="EJ4" s="2962"/>
      <c r="EK4" s="2962"/>
      <c r="EL4" s="2962"/>
      <c r="EM4" s="2962"/>
      <c r="EN4" s="2962"/>
      <c r="EO4" s="2962"/>
      <c r="EP4" s="2962"/>
      <c r="EQ4" s="2962"/>
      <c r="ER4" s="2962"/>
      <c r="ES4" s="2962"/>
      <c r="ET4" s="2962"/>
      <c r="EU4" s="2962"/>
      <c r="EV4" s="2962"/>
      <c r="EW4" s="2962"/>
      <c r="EX4" s="2962"/>
      <c r="EY4" s="2962"/>
      <c r="EZ4" s="2962"/>
      <c r="FA4" s="2962"/>
      <c r="FB4" s="2962"/>
      <c r="FC4" s="2962"/>
      <c r="FD4" s="2962"/>
      <c r="FE4" s="2962"/>
      <c r="FF4" s="2962"/>
      <c r="FG4" s="2962"/>
      <c r="FH4" s="2962"/>
      <c r="FI4" s="2962"/>
      <c r="FJ4" s="2962"/>
      <c r="FK4" s="2962"/>
      <c r="FL4" s="2962"/>
      <c r="FM4" s="2962"/>
      <c r="FN4" s="2962"/>
      <c r="FO4" s="2962"/>
      <c r="FP4" s="2962"/>
      <c r="FQ4" s="2962"/>
      <c r="FR4" s="2962"/>
      <c r="FS4" s="2962"/>
      <c r="FT4" s="2962"/>
      <c r="FU4" s="2962"/>
      <c r="FV4" s="2962"/>
      <c r="FW4" s="2962"/>
      <c r="FX4" s="2962"/>
      <c r="FY4" s="2962"/>
      <c r="FZ4" s="2962"/>
      <c r="GA4" s="2962"/>
      <c r="GB4" s="2962"/>
      <c r="GC4" s="2962"/>
      <c r="GD4" s="2962"/>
      <c r="GE4" s="2962"/>
      <c r="GF4" s="2962"/>
      <c r="GG4" s="2962"/>
      <c r="GH4" s="2962"/>
      <c r="GI4" s="2962"/>
      <c r="GJ4" s="2962"/>
      <c r="GK4" s="2962"/>
      <c r="GL4" s="2962"/>
      <c r="GM4" s="2962"/>
      <c r="GN4" s="2962"/>
      <c r="GO4" s="2962"/>
      <c r="GP4" s="2962"/>
      <c r="GQ4" s="2962"/>
      <c r="GR4" s="2962"/>
      <c r="GS4" s="2962"/>
      <c r="GT4" s="2962"/>
      <c r="GU4" s="2962"/>
      <c r="GV4" s="2962"/>
      <c r="GW4" s="2962"/>
      <c r="GX4" s="2962"/>
      <c r="GY4" s="2962"/>
      <c r="GZ4" s="2962"/>
      <c r="HA4" s="2962"/>
      <c r="HB4" s="2962"/>
      <c r="HC4" s="2962"/>
      <c r="HD4" s="2962"/>
      <c r="HE4" s="2962"/>
      <c r="HF4" s="2962"/>
      <c r="HG4" s="2962"/>
      <c r="HH4" s="2962"/>
      <c r="HI4" s="2962"/>
      <c r="HJ4" s="2962"/>
      <c r="HK4" s="2962"/>
      <c r="HL4" s="2962"/>
      <c r="HM4" s="2962"/>
      <c r="HN4" s="2962"/>
      <c r="HO4" s="2962"/>
      <c r="HP4" s="2962"/>
      <c r="HQ4" s="2962"/>
      <c r="HR4" s="2962"/>
      <c r="HS4" s="2962"/>
      <c r="HT4" s="2962"/>
      <c r="HU4" s="2962"/>
      <c r="HV4" s="2962"/>
      <c r="HW4" s="2962"/>
      <c r="HX4" s="2962"/>
      <c r="HY4" s="2962"/>
      <c r="HZ4" s="2962"/>
      <c r="IA4" s="2962"/>
      <c r="IB4" s="2962"/>
      <c r="IC4" s="2962"/>
      <c r="ID4" s="2962"/>
      <c r="IE4" s="2962"/>
      <c r="IF4" s="2962"/>
      <c r="IG4" s="2962"/>
      <c r="IH4" s="2962"/>
      <c r="II4" s="2962"/>
      <c r="IJ4" s="2962"/>
      <c r="IK4" s="2962"/>
      <c r="IL4" s="2962"/>
      <c r="IM4" s="2962"/>
      <c r="IN4" s="2962"/>
      <c r="IO4" s="2962"/>
      <c r="IP4" s="2962"/>
      <c r="IQ4" s="2962"/>
      <c r="IR4" s="2962"/>
      <c r="IS4" s="2962"/>
      <c r="IT4" s="2962"/>
      <c r="IU4" s="2962"/>
      <c r="IV4" s="2962"/>
    </row>
    <row r="5" spans="1:257" s="3017" customFormat="1">
      <c r="A5" s="2962"/>
      <c r="G5" s="2969" t="s">
        <v>2793</v>
      </c>
      <c r="H5" s="2970">
        <v>1</v>
      </c>
      <c r="I5" s="2971">
        <f ca="1">INDIRECT("f"&amp;$H$1)</f>
        <v>4.75</v>
      </c>
      <c r="J5" s="2971">
        <f ca="1">INDIRECT("f"&amp;$H$1)</f>
        <v>4.75</v>
      </c>
      <c r="K5" s="2962"/>
      <c r="L5" s="2962"/>
      <c r="M5" s="2972">
        <v>2</v>
      </c>
      <c r="N5" s="2973">
        <f ca="1">INDIRECT("r"&amp;$N$1)</f>
        <v>2.1</v>
      </c>
      <c r="O5" s="2962"/>
      <c r="P5" s="2962"/>
      <c r="Q5" s="2962"/>
      <c r="R5" s="2962"/>
      <c r="S5" s="2962"/>
      <c r="T5" s="2962"/>
      <c r="U5" s="2962"/>
      <c r="V5" s="2962"/>
      <c r="W5" s="2962"/>
      <c r="X5" s="2962"/>
      <c r="Y5" s="2962"/>
      <c r="Z5" s="2962"/>
      <c r="AA5" s="2962"/>
      <c r="AB5" s="2962"/>
      <c r="AC5" s="2962"/>
      <c r="AD5" s="2962"/>
      <c r="AE5" s="2962"/>
      <c r="AF5" s="2962"/>
      <c r="AG5" s="2962"/>
      <c r="AH5" s="2962"/>
      <c r="AI5" s="2962"/>
      <c r="AJ5" s="2962"/>
      <c r="AK5" s="2962"/>
      <c r="AL5" s="2962"/>
      <c r="AM5" s="2962"/>
      <c r="AN5" s="2962"/>
      <c r="AO5" s="2962"/>
      <c r="AP5" s="2962"/>
      <c r="AQ5" s="2962"/>
      <c r="AR5" s="2962"/>
      <c r="AS5" s="2962"/>
      <c r="AT5" s="2962"/>
      <c r="AU5" s="2962"/>
      <c r="AV5" s="2962"/>
      <c r="AW5" s="2962"/>
      <c r="AX5" s="2962"/>
      <c r="AY5" s="2962"/>
      <c r="AZ5" s="2962"/>
      <c r="BA5" s="2962"/>
      <c r="BB5" s="2962"/>
      <c r="BC5" s="2962"/>
      <c r="BD5" s="2962"/>
      <c r="BE5" s="2962"/>
      <c r="BF5" s="2962"/>
      <c r="BG5" s="2962"/>
      <c r="BH5" s="2962"/>
      <c r="BI5" s="2962"/>
      <c r="BJ5" s="2962"/>
      <c r="BK5" s="2962"/>
      <c r="BL5" s="2962"/>
      <c r="BM5" s="2962"/>
      <c r="BN5" s="2962"/>
      <c r="BO5" s="2962"/>
      <c r="BP5" s="2962"/>
      <c r="BQ5" s="2962"/>
      <c r="BR5" s="2962"/>
      <c r="BS5" s="2962"/>
      <c r="BT5" s="2962"/>
      <c r="BU5" s="2962"/>
      <c r="BV5" s="2962"/>
      <c r="BW5" s="2962"/>
      <c r="BX5" s="2962"/>
      <c r="BY5" s="2962"/>
      <c r="BZ5" s="2962"/>
      <c r="CA5" s="2962"/>
      <c r="CB5" s="2962"/>
      <c r="CC5" s="2962"/>
      <c r="CD5" s="2962"/>
      <c r="CE5" s="2962"/>
      <c r="CF5" s="2962"/>
      <c r="CG5" s="2962"/>
      <c r="CH5" s="2962"/>
      <c r="CI5" s="2962"/>
      <c r="CJ5" s="2962"/>
      <c r="CK5" s="2962"/>
      <c r="CL5" s="2962"/>
      <c r="CM5" s="2962"/>
      <c r="CN5" s="2962"/>
      <c r="CO5" s="2962"/>
      <c r="CP5" s="2962"/>
      <c r="CQ5" s="2962"/>
      <c r="CR5" s="2962"/>
      <c r="CS5" s="2962"/>
      <c r="CT5" s="2962"/>
      <c r="CU5" s="2962"/>
      <c r="CV5" s="2962"/>
      <c r="CW5" s="2962"/>
      <c r="CX5" s="2962"/>
      <c r="CY5" s="2962"/>
      <c r="CZ5" s="2962"/>
      <c r="DA5" s="2962"/>
      <c r="DB5" s="2962"/>
      <c r="DC5" s="2962"/>
      <c r="DD5" s="2962"/>
      <c r="DE5" s="2962"/>
      <c r="DF5" s="2962"/>
      <c r="DG5" s="2962"/>
      <c r="DH5" s="2962"/>
      <c r="DI5" s="2962"/>
      <c r="DJ5" s="2962"/>
      <c r="DK5" s="2962"/>
      <c r="DL5" s="2962"/>
      <c r="DM5" s="2962"/>
      <c r="DN5" s="2962"/>
      <c r="DO5" s="2962"/>
      <c r="DP5" s="2962"/>
      <c r="DQ5" s="2962"/>
      <c r="DR5" s="2962"/>
      <c r="DS5" s="2962"/>
      <c r="DT5" s="2962"/>
      <c r="DU5" s="2962"/>
      <c r="DV5" s="2962"/>
      <c r="DW5" s="2962"/>
      <c r="DX5" s="2962"/>
      <c r="DY5" s="2962"/>
      <c r="DZ5" s="2962"/>
      <c r="EA5" s="2962"/>
      <c r="EB5" s="2962"/>
      <c r="EC5" s="2962"/>
      <c r="ED5" s="2962"/>
      <c r="EE5" s="2962"/>
      <c r="EF5" s="2962"/>
      <c r="EG5" s="2962"/>
      <c r="EH5" s="2962"/>
      <c r="EI5" s="2962"/>
      <c r="EJ5" s="2962"/>
      <c r="EK5" s="2962"/>
      <c r="EL5" s="2962"/>
      <c r="EM5" s="2962"/>
      <c r="EN5" s="2962"/>
      <c r="EO5" s="2962"/>
      <c r="EP5" s="2962"/>
      <c r="EQ5" s="2962"/>
      <c r="ER5" s="2962"/>
      <c r="ES5" s="2962"/>
      <c r="ET5" s="2962"/>
      <c r="EU5" s="2962"/>
      <c r="EV5" s="2962"/>
      <c r="EW5" s="2962"/>
      <c r="EX5" s="2962"/>
      <c r="EY5" s="2962"/>
      <c r="EZ5" s="2962"/>
      <c r="FA5" s="2962"/>
      <c r="FB5" s="2962"/>
      <c r="FC5" s="2962"/>
      <c r="FD5" s="2962"/>
      <c r="FE5" s="2962"/>
      <c r="FF5" s="2962"/>
      <c r="FG5" s="2962"/>
      <c r="FH5" s="2962"/>
      <c r="FI5" s="2962"/>
      <c r="FJ5" s="2962"/>
      <c r="FK5" s="2962"/>
      <c r="FL5" s="2962"/>
      <c r="FM5" s="2962"/>
      <c r="FN5" s="2962"/>
      <c r="FO5" s="2962"/>
      <c r="FP5" s="2962"/>
      <c r="FQ5" s="2962"/>
      <c r="FR5" s="2962"/>
      <c r="FS5" s="2962"/>
      <c r="FT5" s="2962"/>
      <c r="FU5" s="2962"/>
      <c r="FV5" s="2962"/>
      <c r="FW5" s="2962"/>
      <c r="FX5" s="2962"/>
      <c r="FY5" s="2962"/>
      <c r="FZ5" s="2962"/>
      <c r="GA5" s="2962"/>
      <c r="GB5" s="2962"/>
      <c r="GC5" s="2962"/>
      <c r="GD5" s="2962"/>
      <c r="GE5" s="2962"/>
      <c r="GF5" s="2962"/>
      <c r="GG5" s="2962"/>
      <c r="GH5" s="2962"/>
      <c r="GI5" s="2962"/>
      <c r="GJ5" s="2962"/>
      <c r="GK5" s="2962"/>
      <c r="GL5" s="2962"/>
      <c r="GM5" s="2962"/>
      <c r="GN5" s="2962"/>
      <c r="GO5" s="2962"/>
      <c r="GP5" s="2962"/>
      <c r="GQ5" s="2962"/>
      <c r="GR5" s="2962"/>
      <c r="GS5" s="2962"/>
      <c r="GT5" s="2962"/>
      <c r="GU5" s="2962"/>
      <c r="GV5" s="2962"/>
      <c r="GW5" s="2962"/>
      <c r="GX5" s="2962"/>
      <c r="GY5" s="2962"/>
      <c r="GZ5" s="2962"/>
      <c r="HA5" s="2962"/>
      <c r="HB5" s="2962"/>
      <c r="HC5" s="2962"/>
      <c r="HD5" s="2962"/>
      <c r="HE5" s="2962"/>
      <c r="HF5" s="2962"/>
      <c r="HG5" s="2962"/>
      <c r="HH5" s="2962"/>
      <c r="HI5" s="2962"/>
      <c r="HJ5" s="2962"/>
      <c r="HK5" s="2962"/>
      <c r="HL5" s="2962"/>
      <c r="HM5" s="2962"/>
      <c r="HN5" s="2962"/>
      <c r="HO5" s="2962"/>
      <c r="HP5" s="2962"/>
      <c r="HQ5" s="2962"/>
      <c r="HR5" s="2962"/>
      <c r="HS5" s="2962"/>
      <c r="HT5" s="2962"/>
      <c r="HU5" s="2962"/>
      <c r="HV5" s="2962"/>
      <c r="HW5" s="2962"/>
      <c r="HX5" s="2962"/>
      <c r="HY5" s="2962"/>
      <c r="HZ5" s="2962"/>
      <c r="IA5" s="2962"/>
      <c r="IB5" s="2962"/>
      <c r="IC5" s="2962"/>
      <c r="ID5" s="2962"/>
      <c r="IE5" s="2962"/>
      <c r="IF5" s="2962"/>
      <c r="IG5" s="2962"/>
      <c r="IH5" s="2962"/>
      <c r="II5" s="2962"/>
      <c r="IJ5" s="2962"/>
      <c r="IK5" s="2962"/>
      <c r="IL5" s="2962"/>
      <c r="IM5" s="2962"/>
      <c r="IN5" s="2962"/>
      <c r="IO5" s="2962"/>
      <c r="IP5" s="2962"/>
      <c r="IQ5" s="2962"/>
      <c r="IR5" s="2962"/>
      <c r="IS5" s="2962"/>
      <c r="IT5" s="2962"/>
      <c r="IU5" s="2962"/>
      <c r="IV5" s="2962"/>
    </row>
    <row r="6" spans="1:257" s="3017" customFormat="1">
      <c r="A6" s="2962"/>
      <c r="G6" s="2969" t="s">
        <v>2794</v>
      </c>
      <c r="H6" s="2970">
        <v>3</v>
      </c>
      <c r="I6" s="2971">
        <f ca="1">INDIRECT("g"&amp;$H$1)</f>
        <v>4.75</v>
      </c>
      <c r="J6" s="2971">
        <f ca="1">INDIRECT("g"&amp;$H$1)</f>
        <v>4.75</v>
      </c>
      <c r="K6" s="2962"/>
      <c r="L6" s="2962"/>
      <c r="M6" s="2972">
        <v>3</v>
      </c>
      <c r="N6" s="2973">
        <f ca="1">INDIRECT("s"&amp;$N$1)</f>
        <v>2.75</v>
      </c>
      <c r="O6" s="2962"/>
      <c r="P6" s="2962"/>
      <c r="Q6" s="2962"/>
      <c r="R6" s="2962"/>
      <c r="S6" s="2962"/>
      <c r="T6" s="2962"/>
      <c r="U6" s="2962"/>
      <c r="V6" s="2962"/>
      <c r="W6" s="2962"/>
      <c r="X6" s="2962"/>
      <c r="Y6" s="2962"/>
      <c r="Z6" s="2962"/>
      <c r="AA6" s="2962"/>
      <c r="AB6" s="2962"/>
      <c r="AC6" s="2962"/>
      <c r="AD6" s="2962"/>
      <c r="AE6" s="2962"/>
      <c r="AF6" s="2962"/>
      <c r="AG6" s="2962"/>
      <c r="AH6" s="2962"/>
      <c r="AI6" s="2962"/>
      <c r="AJ6" s="2962"/>
      <c r="AK6" s="2962"/>
      <c r="AL6" s="2962"/>
      <c r="AM6" s="2962"/>
      <c r="AN6" s="2962"/>
      <c r="AO6" s="2962"/>
      <c r="AP6" s="2962"/>
      <c r="AQ6" s="2962"/>
      <c r="AR6" s="2962"/>
      <c r="AS6" s="2962"/>
      <c r="AT6" s="2962"/>
      <c r="AU6" s="2962"/>
      <c r="AV6" s="2962"/>
      <c r="AW6" s="2962"/>
      <c r="AX6" s="2962"/>
      <c r="AY6" s="2962"/>
      <c r="AZ6" s="2962"/>
      <c r="BA6" s="2962"/>
      <c r="BB6" s="2962"/>
      <c r="BC6" s="2962"/>
      <c r="BD6" s="2962"/>
      <c r="BE6" s="2962"/>
      <c r="BF6" s="2962"/>
      <c r="BG6" s="2962"/>
      <c r="BH6" s="2962"/>
      <c r="BI6" s="2962"/>
      <c r="BJ6" s="2962"/>
      <c r="BK6" s="2962"/>
      <c r="BL6" s="2962"/>
      <c r="BM6" s="2962"/>
      <c r="BN6" s="2962"/>
      <c r="BO6" s="2962"/>
      <c r="BP6" s="2962"/>
      <c r="BQ6" s="2962"/>
      <c r="BR6" s="2962"/>
      <c r="BS6" s="2962"/>
      <c r="BT6" s="2962"/>
      <c r="BU6" s="2962"/>
      <c r="BV6" s="2962"/>
      <c r="BW6" s="2962"/>
      <c r="BX6" s="2962"/>
      <c r="BY6" s="2962"/>
      <c r="BZ6" s="2962"/>
      <c r="CA6" s="2962"/>
      <c r="CB6" s="2962"/>
      <c r="CC6" s="2962"/>
      <c r="CD6" s="2962"/>
      <c r="CE6" s="2962"/>
      <c r="CF6" s="2962"/>
      <c r="CG6" s="2962"/>
      <c r="CH6" s="2962"/>
      <c r="CI6" s="2962"/>
      <c r="CJ6" s="2962"/>
      <c r="CK6" s="2962"/>
      <c r="CL6" s="2962"/>
      <c r="CM6" s="2962"/>
      <c r="CN6" s="2962"/>
      <c r="CO6" s="2962"/>
      <c r="CP6" s="2962"/>
      <c r="CQ6" s="2962"/>
      <c r="CR6" s="2962"/>
      <c r="CS6" s="2962"/>
      <c r="CT6" s="2962"/>
      <c r="CU6" s="2962"/>
      <c r="CV6" s="2962"/>
      <c r="CW6" s="2962"/>
      <c r="CX6" s="2962"/>
      <c r="CY6" s="2962"/>
      <c r="CZ6" s="2962"/>
      <c r="DA6" s="2962"/>
      <c r="DB6" s="2962"/>
      <c r="DC6" s="2962"/>
      <c r="DD6" s="2962"/>
      <c r="DE6" s="2962"/>
      <c r="DF6" s="2962"/>
      <c r="DG6" s="2962"/>
      <c r="DH6" s="2962"/>
      <c r="DI6" s="2962"/>
      <c r="DJ6" s="2962"/>
      <c r="DK6" s="2962"/>
      <c r="DL6" s="2962"/>
      <c r="DM6" s="2962"/>
      <c r="DN6" s="2962"/>
      <c r="DO6" s="2962"/>
      <c r="DP6" s="2962"/>
      <c r="DQ6" s="2962"/>
      <c r="DR6" s="2962"/>
      <c r="DS6" s="2962"/>
      <c r="DT6" s="2962"/>
      <c r="DU6" s="2962"/>
      <c r="DV6" s="2962"/>
      <c r="DW6" s="2962"/>
      <c r="DX6" s="2962"/>
      <c r="DY6" s="2962"/>
      <c r="DZ6" s="2962"/>
      <c r="EA6" s="2962"/>
      <c r="EB6" s="2962"/>
      <c r="EC6" s="2962"/>
      <c r="ED6" s="2962"/>
      <c r="EE6" s="2962"/>
      <c r="EF6" s="2962"/>
      <c r="EG6" s="2962"/>
      <c r="EH6" s="2962"/>
      <c r="EI6" s="2962"/>
      <c r="EJ6" s="2962"/>
      <c r="EK6" s="2962"/>
      <c r="EL6" s="2962"/>
      <c r="EM6" s="2962"/>
      <c r="EN6" s="2962"/>
      <c r="EO6" s="2962"/>
      <c r="EP6" s="2962"/>
      <c r="EQ6" s="2962"/>
      <c r="ER6" s="2962"/>
      <c r="ES6" s="2962"/>
      <c r="ET6" s="2962"/>
      <c r="EU6" s="2962"/>
      <c r="EV6" s="2962"/>
      <c r="EW6" s="2962"/>
      <c r="EX6" s="2962"/>
      <c r="EY6" s="2962"/>
      <c r="EZ6" s="2962"/>
      <c r="FA6" s="2962"/>
      <c r="FB6" s="2962"/>
      <c r="FC6" s="2962"/>
      <c r="FD6" s="2962"/>
      <c r="FE6" s="2962"/>
      <c r="FF6" s="2962"/>
      <c r="FG6" s="2962"/>
      <c r="FH6" s="2962"/>
      <c r="FI6" s="2962"/>
      <c r="FJ6" s="2962"/>
      <c r="FK6" s="2962"/>
      <c r="FL6" s="2962"/>
      <c r="FM6" s="2962"/>
      <c r="FN6" s="2962"/>
      <c r="FO6" s="2962"/>
      <c r="FP6" s="2962"/>
      <c r="FQ6" s="2962"/>
      <c r="FR6" s="2962"/>
      <c r="FS6" s="2962"/>
      <c r="FT6" s="2962"/>
      <c r="FU6" s="2962"/>
      <c r="FV6" s="2962"/>
      <c r="FW6" s="2962"/>
      <c r="FX6" s="2962"/>
      <c r="FY6" s="2962"/>
      <c r="FZ6" s="2962"/>
      <c r="GA6" s="2962"/>
      <c r="GB6" s="2962"/>
      <c r="GC6" s="2962"/>
      <c r="GD6" s="2962"/>
      <c r="GE6" s="2962"/>
      <c r="GF6" s="2962"/>
      <c r="GG6" s="2962"/>
      <c r="GH6" s="2962"/>
      <c r="GI6" s="2962"/>
      <c r="GJ6" s="2962"/>
      <c r="GK6" s="2962"/>
      <c r="GL6" s="2962"/>
      <c r="GM6" s="2962"/>
      <c r="GN6" s="2962"/>
      <c r="GO6" s="2962"/>
      <c r="GP6" s="2962"/>
      <c r="GQ6" s="2962"/>
      <c r="GR6" s="2962"/>
      <c r="GS6" s="2962"/>
      <c r="GT6" s="2962"/>
      <c r="GU6" s="2962"/>
      <c r="GV6" s="2962"/>
      <c r="GW6" s="2962"/>
      <c r="GX6" s="2962"/>
      <c r="GY6" s="2962"/>
      <c r="GZ6" s="2962"/>
      <c r="HA6" s="2962"/>
      <c r="HB6" s="2962"/>
      <c r="HC6" s="2962"/>
      <c r="HD6" s="2962"/>
      <c r="HE6" s="2962"/>
      <c r="HF6" s="2962"/>
      <c r="HG6" s="2962"/>
      <c r="HH6" s="2962"/>
      <c r="HI6" s="2962"/>
      <c r="HJ6" s="2962"/>
      <c r="HK6" s="2962"/>
      <c r="HL6" s="2962"/>
      <c r="HM6" s="2962"/>
      <c r="HN6" s="2962"/>
      <c r="HO6" s="2962"/>
      <c r="HP6" s="2962"/>
      <c r="HQ6" s="2962"/>
      <c r="HR6" s="2962"/>
      <c r="HS6" s="2962"/>
      <c r="HT6" s="2962"/>
      <c r="HU6" s="2962"/>
      <c r="HV6" s="2962"/>
      <c r="HW6" s="2962"/>
      <c r="HX6" s="2962"/>
      <c r="HY6" s="2962"/>
      <c r="HZ6" s="2962"/>
      <c r="IA6" s="2962"/>
      <c r="IB6" s="2962"/>
      <c r="IC6" s="2962"/>
      <c r="ID6" s="2962"/>
      <c r="IE6" s="2962"/>
      <c r="IF6" s="2962"/>
      <c r="IG6" s="2962"/>
      <c r="IH6" s="2962"/>
      <c r="II6" s="2962"/>
      <c r="IJ6" s="2962"/>
      <c r="IK6" s="2962"/>
      <c r="IL6" s="2962"/>
      <c r="IM6" s="2962"/>
      <c r="IN6" s="2962"/>
      <c r="IO6" s="2962"/>
      <c r="IP6" s="2962"/>
      <c r="IQ6" s="2962"/>
      <c r="IR6" s="2962"/>
      <c r="IS6" s="2962"/>
      <c r="IT6" s="2962"/>
      <c r="IU6" s="2962"/>
      <c r="IV6" s="2962"/>
    </row>
    <row r="7" spans="1:257" s="3017" customFormat="1" ht="14.25" thickBot="1">
      <c r="A7" s="2962"/>
      <c r="G7" s="2974" t="s">
        <v>2795</v>
      </c>
      <c r="H7" s="2975">
        <v>5</v>
      </c>
      <c r="I7" s="2976">
        <f ca="1">INDIRECT("h"&amp;$H$1)</f>
        <v>4.9000000000000004</v>
      </c>
      <c r="J7" s="2976">
        <f ca="1">INDIRECT("h"&amp;$H$1)</f>
        <v>4.9000000000000004</v>
      </c>
      <c r="K7" s="2962"/>
      <c r="L7" s="2962"/>
      <c r="M7" s="2977">
        <v>5</v>
      </c>
      <c r="N7" s="2978">
        <f ca="1">INDIRECT("t"&amp;$N$1)</f>
        <v>0</v>
      </c>
      <c r="O7" s="2962"/>
      <c r="P7" s="2962"/>
      <c r="Q7" s="2962"/>
      <c r="R7" s="2962"/>
      <c r="S7" s="2962"/>
      <c r="T7" s="2962"/>
      <c r="U7" s="2962"/>
      <c r="V7" s="2962"/>
      <c r="W7" s="2962"/>
      <c r="X7" s="2962"/>
      <c r="Y7" s="2962"/>
      <c r="Z7" s="2962"/>
      <c r="AA7" s="2962"/>
      <c r="AB7" s="2962"/>
      <c r="AC7" s="2962"/>
      <c r="AD7" s="2962"/>
      <c r="AE7" s="2962"/>
      <c r="AF7" s="2962"/>
      <c r="AG7" s="2962"/>
      <c r="AH7" s="2962"/>
      <c r="AI7" s="2962"/>
      <c r="AJ7" s="2962"/>
      <c r="AK7" s="2962"/>
      <c r="AL7" s="2962"/>
      <c r="AM7" s="2962"/>
      <c r="AN7" s="2962"/>
      <c r="AO7" s="2962"/>
      <c r="AP7" s="2962"/>
      <c r="AQ7" s="2962"/>
      <c r="AR7" s="2962"/>
      <c r="AS7" s="2962"/>
      <c r="AT7" s="2962"/>
      <c r="AU7" s="2962"/>
      <c r="AV7" s="2962"/>
      <c r="AW7" s="2962"/>
      <c r="AX7" s="2962"/>
      <c r="AY7" s="2962"/>
      <c r="AZ7" s="2962"/>
      <c r="BA7" s="2962"/>
      <c r="BB7" s="2962"/>
      <c r="BC7" s="2962"/>
      <c r="BD7" s="2962"/>
      <c r="BE7" s="2962"/>
      <c r="BF7" s="2962"/>
      <c r="BG7" s="2962"/>
      <c r="BH7" s="2962"/>
      <c r="BI7" s="2962"/>
      <c r="BJ7" s="2962"/>
      <c r="BK7" s="2962"/>
      <c r="BL7" s="2962"/>
      <c r="BM7" s="2962"/>
      <c r="BN7" s="2962"/>
      <c r="BO7" s="2962"/>
      <c r="BP7" s="2962"/>
      <c r="BQ7" s="2962"/>
      <c r="BR7" s="2962"/>
      <c r="BS7" s="2962"/>
      <c r="BT7" s="2962"/>
      <c r="BU7" s="2962"/>
      <c r="BV7" s="2962"/>
      <c r="BW7" s="2962"/>
      <c r="BX7" s="2962"/>
      <c r="BY7" s="2962"/>
      <c r="BZ7" s="2962"/>
      <c r="CA7" s="2962"/>
      <c r="CB7" s="2962"/>
      <c r="CC7" s="2962"/>
      <c r="CD7" s="2962"/>
      <c r="CE7" s="2962"/>
      <c r="CF7" s="2962"/>
      <c r="CG7" s="2962"/>
      <c r="CH7" s="2962"/>
      <c r="CI7" s="2962"/>
      <c r="CJ7" s="2962"/>
      <c r="CK7" s="2962"/>
      <c r="CL7" s="2962"/>
      <c r="CM7" s="2962"/>
      <c r="CN7" s="2962"/>
      <c r="CO7" s="2962"/>
      <c r="CP7" s="2962"/>
      <c r="CQ7" s="2962"/>
      <c r="CR7" s="2962"/>
      <c r="CS7" s="2962"/>
      <c r="CT7" s="2962"/>
      <c r="CU7" s="2962"/>
      <c r="CV7" s="2962"/>
      <c r="CW7" s="2962"/>
      <c r="CX7" s="2962"/>
      <c r="CY7" s="2962"/>
      <c r="CZ7" s="2962"/>
      <c r="DA7" s="2962"/>
      <c r="DB7" s="2962"/>
      <c r="DC7" s="2962"/>
      <c r="DD7" s="2962"/>
      <c r="DE7" s="2962"/>
      <c r="DF7" s="2962"/>
      <c r="DG7" s="2962"/>
      <c r="DH7" s="2962"/>
      <c r="DI7" s="2962"/>
      <c r="DJ7" s="2962"/>
      <c r="DK7" s="2962"/>
      <c r="DL7" s="2962"/>
      <c r="DM7" s="2962"/>
      <c r="DN7" s="2962"/>
      <c r="DO7" s="2962"/>
      <c r="DP7" s="2962"/>
      <c r="DQ7" s="2962"/>
      <c r="DR7" s="2962"/>
      <c r="DS7" s="2962"/>
      <c r="DT7" s="2962"/>
      <c r="DU7" s="2962"/>
      <c r="DV7" s="2962"/>
      <c r="DW7" s="2962"/>
      <c r="DX7" s="2962"/>
      <c r="DY7" s="2962"/>
      <c r="DZ7" s="2962"/>
      <c r="EA7" s="2962"/>
      <c r="EB7" s="2962"/>
      <c r="EC7" s="2962"/>
      <c r="ED7" s="2962"/>
      <c r="EE7" s="2962"/>
      <c r="EF7" s="2962"/>
      <c r="EG7" s="2962"/>
      <c r="EH7" s="2962"/>
      <c r="EI7" s="2962"/>
      <c r="EJ7" s="2962"/>
      <c r="EK7" s="2962"/>
      <c r="EL7" s="2962"/>
      <c r="EM7" s="2962"/>
      <c r="EN7" s="2962"/>
      <c r="EO7" s="2962"/>
      <c r="EP7" s="2962"/>
      <c r="EQ7" s="2962"/>
      <c r="ER7" s="2962"/>
      <c r="ES7" s="2962"/>
      <c r="ET7" s="2962"/>
      <c r="EU7" s="2962"/>
      <c r="EV7" s="2962"/>
      <c r="EW7" s="2962"/>
      <c r="EX7" s="2962"/>
      <c r="EY7" s="2962"/>
      <c r="EZ7" s="2962"/>
      <c r="FA7" s="2962"/>
      <c r="FB7" s="2962"/>
      <c r="FC7" s="2962"/>
      <c r="FD7" s="2962"/>
      <c r="FE7" s="2962"/>
      <c r="FF7" s="2962"/>
      <c r="FG7" s="2962"/>
      <c r="FH7" s="2962"/>
      <c r="FI7" s="2962"/>
      <c r="FJ7" s="2962"/>
      <c r="FK7" s="2962"/>
      <c r="FL7" s="2962"/>
      <c r="FM7" s="2962"/>
      <c r="FN7" s="2962"/>
      <c r="FO7" s="2962"/>
      <c r="FP7" s="2962"/>
      <c r="FQ7" s="2962"/>
      <c r="FR7" s="2962"/>
      <c r="FS7" s="2962"/>
      <c r="FT7" s="2962"/>
      <c r="FU7" s="2962"/>
      <c r="FV7" s="2962"/>
      <c r="FW7" s="2962"/>
      <c r="FX7" s="2962"/>
      <c r="FY7" s="2962"/>
      <c r="FZ7" s="2962"/>
      <c r="GA7" s="2962"/>
      <c r="GB7" s="2962"/>
      <c r="GC7" s="2962"/>
      <c r="GD7" s="2962"/>
      <c r="GE7" s="2962"/>
      <c r="GF7" s="2962"/>
      <c r="GG7" s="2962"/>
      <c r="GH7" s="2962"/>
      <c r="GI7" s="2962"/>
      <c r="GJ7" s="2962"/>
      <c r="GK7" s="2962"/>
      <c r="GL7" s="2962"/>
      <c r="GM7" s="2962"/>
      <c r="GN7" s="2962"/>
      <c r="GO7" s="2962"/>
      <c r="GP7" s="2962"/>
      <c r="GQ7" s="2962"/>
      <c r="GR7" s="2962"/>
      <c r="GS7" s="2962"/>
      <c r="GT7" s="2962"/>
      <c r="GU7" s="2962"/>
      <c r="GV7" s="2962"/>
      <c r="GW7" s="2962"/>
      <c r="GX7" s="2962"/>
      <c r="GY7" s="2962"/>
      <c r="GZ7" s="2962"/>
      <c r="HA7" s="2962"/>
      <c r="HB7" s="2962"/>
      <c r="HC7" s="2962"/>
      <c r="HD7" s="2962"/>
      <c r="HE7" s="2962"/>
      <c r="HF7" s="2962"/>
      <c r="HG7" s="2962"/>
      <c r="HH7" s="2962"/>
      <c r="HI7" s="2962"/>
      <c r="HJ7" s="2962"/>
      <c r="HK7" s="2962"/>
      <c r="HL7" s="2962"/>
      <c r="HM7" s="2962"/>
      <c r="HN7" s="2962"/>
      <c r="HO7" s="2962"/>
      <c r="HP7" s="2962"/>
      <c r="HQ7" s="2962"/>
      <c r="HR7" s="2962"/>
      <c r="HS7" s="2962"/>
      <c r="HT7" s="2962"/>
      <c r="HU7" s="2962"/>
      <c r="HV7" s="2962"/>
      <c r="HW7" s="2962"/>
      <c r="HX7" s="2962"/>
      <c r="HY7" s="2962"/>
      <c r="HZ7" s="2962"/>
      <c r="IA7" s="2962"/>
      <c r="IB7" s="2962"/>
      <c r="IC7" s="2962"/>
      <c r="ID7" s="2962"/>
      <c r="IE7" s="2962"/>
      <c r="IF7" s="2962"/>
      <c r="IG7" s="2962"/>
      <c r="IH7" s="2962"/>
      <c r="II7" s="2962"/>
      <c r="IJ7" s="2962"/>
      <c r="IK7" s="2962"/>
      <c r="IL7" s="2962"/>
      <c r="IM7" s="2962"/>
      <c r="IN7" s="2962"/>
      <c r="IO7" s="2962"/>
      <c r="IP7" s="2962"/>
      <c r="IQ7" s="2962"/>
      <c r="IR7" s="2962"/>
      <c r="IS7" s="2962"/>
      <c r="IT7" s="2962"/>
      <c r="IU7" s="2962"/>
      <c r="IV7" s="2962"/>
    </row>
    <row r="8" spans="1:257">
      <c r="A8" s="2979"/>
      <c r="B8" s="2980"/>
      <c r="C8" s="2981"/>
      <c r="D8" s="2962"/>
      <c r="E8" s="2962"/>
      <c r="F8" s="2962"/>
      <c r="G8" s="2962"/>
      <c r="H8" s="2962"/>
      <c r="I8" s="2962"/>
      <c r="J8" s="2962"/>
      <c r="L8" s="2962"/>
      <c r="M8" s="2962"/>
      <c r="N8" s="2962"/>
      <c r="O8" s="2962"/>
      <c r="P8" s="2962"/>
      <c r="Q8" s="2962"/>
      <c r="R8" s="2962"/>
      <c r="S8" s="2962"/>
      <c r="T8" s="2962"/>
      <c r="U8" s="2962"/>
      <c r="V8" s="2962"/>
      <c r="W8" s="2962"/>
      <c r="X8" s="2962"/>
      <c r="Y8" s="2962"/>
      <c r="Z8" s="2962"/>
    </row>
    <row r="9" spans="1:257" ht="20.25">
      <c r="A9" s="2982"/>
      <c r="B9" s="2983" t="s">
        <v>2796</v>
      </c>
      <c r="C9" s="2984"/>
      <c r="D9" s="2985"/>
      <c r="E9" s="2985"/>
      <c r="F9" s="2985"/>
      <c r="G9" s="2985"/>
      <c r="H9" s="2985"/>
      <c r="I9" s="2985"/>
      <c r="J9" s="2985"/>
      <c r="K9" s="2985"/>
      <c r="L9" s="2985"/>
      <c r="M9" s="2985"/>
      <c r="N9" s="2985"/>
      <c r="O9" s="2985"/>
      <c r="P9" s="2985"/>
      <c r="Q9" s="2985"/>
      <c r="R9" s="2985"/>
      <c r="S9" s="2985"/>
      <c r="T9" s="2985"/>
      <c r="U9" s="2985"/>
      <c r="V9" s="2985"/>
      <c r="W9" s="2985"/>
      <c r="X9" s="2985"/>
      <c r="Y9" s="2985"/>
      <c r="Z9" s="2985"/>
      <c r="AA9" s="2986"/>
      <c r="AB9" s="2986"/>
      <c r="AC9" s="2986"/>
      <c r="AD9" s="2986"/>
      <c r="AE9" s="2986"/>
      <c r="AF9" s="2986"/>
      <c r="AG9" s="2986"/>
      <c r="AH9" s="2986"/>
      <c r="AI9" s="2986"/>
      <c r="AJ9" s="2986"/>
      <c r="AK9" s="2986"/>
      <c r="AL9" s="2986"/>
      <c r="AM9" s="2986"/>
      <c r="AN9" s="2986"/>
      <c r="AO9" s="2986"/>
      <c r="AP9" s="2986"/>
      <c r="AQ9" s="2986"/>
      <c r="AR9" s="2986"/>
      <c r="AS9" s="2986"/>
      <c r="AT9" s="2986"/>
      <c r="AU9" s="2986"/>
      <c r="AV9" s="2986"/>
      <c r="AW9" s="2986"/>
      <c r="AX9" s="2986"/>
      <c r="AY9" s="2986"/>
      <c r="AZ9" s="2986"/>
      <c r="BA9" s="2986"/>
      <c r="BB9" s="2986"/>
      <c r="BC9" s="2986"/>
      <c r="BD9" s="2986"/>
      <c r="BE9" s="2986"/>
      <c r="BF9" s="2986"/>
      <c r="BG9" s="2986"/>
      <c r="BH9" s="2986"/>
      <c r="BI9" s="2986"/>
      <c r="BJ9" s="2986"/>
      <c r="BK9" s="2986"/>
      <c r="BL9" s="2986"/>
      <c r="BM9" s="2986"/>
      <c r="BN9" s="2986"/>
      <c r="BO9" s="2986"/>
      <c r="BP9" s="2986"/>
      <c r="BQ9" s="2986"/>
      <c r="BR9" s="2986"/>
      <c r="BS9" s="2986"/>
      <c r="BT9" s="2986"/>
      <c r="BU9" s="2986"/>
      <c r="BV9" s="2986"/>
      <c r="BW9" s="2986"/>
      <c r="BX9" s="2986"/>
      <c r="BY9" s="2986"/>
      <c r="BZ9" s="2986"/>
      <c r="CA9" s="2986"/>
      <c r="CB9" s="2986"/>
      <c r="CC9" s="2986"/>
      <c r="CD9" s="2986"/>
      <c r="CE9" s="2986"/>
      <c r="CF9" s="2986"/>
      <c r="CG9" s="2986"/>
      <c r="CH9" s="2986"/>
      <c r="CI9" s="2986"/>
      <c r="CJ9" s="2986"/>
      <c r="CK9" s="2986"/>
      <c r="CL9" s="2986"/>
      <c r="CM9" s="2986"/>
      <c r="CN9" s="2986"/>
      <c r="CO9" s="2986"/>
      <c r="CP9" s="2986"/>
      <c r="CQ9" s="2986"/>
      <c r="CR9" s="2986"/>
      <c r="CS9" s="2986"/>
      <c r="CT9" s="2986"/>
      <c r="CU9" s="2986"/>
      <c r="CV9" s="2986"/>
      <c r="CW9" s="2986"/>
      <c r="CX9" s="2986"/>
      <c r="CY9" s="2986"/>
      <c r="CZ9" s="2986"/>
      <c r="DA9" s="2986"/>
      <c r="DB9" s="2986"/>
      <c r="DC9" s="2986"/>
      <c r="DD9" s="2986"/>
      <c r="DE9" s="2986"/>
      <c r="DF9" s="2986"/>
      <c r="DG9" s="2986"/>
      <c r="DH9" s="2986"/>
      <c r="DI9" s="2986"/>
      <c r="DJ9" s="2986"/>
      <c r="DK9" s="2986"/>
      <c r="DL9" s="2986"/>
      <c r="DM9" s="2986"/>
      <c r="DN9" s="2986"/>
      <c r="DO9" s="2986"/>
      <c r="DP9" s="2986"/>
      <c r="DQ9" s="2986"/>
      <c r="DR9" s="2986"/>
      <c r="DS9" s="2986"/>
      <c r="DT9" s="2986"/>
      <c r="DU9" s="2986"/>
      <c r="DV9" s="2986"/>
      <c r="DW9" s="2986"/>
      <c r="DX9" s="2986"/>
      <c r="DY9" s="2986"/>
      <c r="DZ9" s="2986"/>
      <c r="EA9" s="2986"/>
      <c r="EB9" s="2986"/>
      <c r="EC9" s="2986"/>
      <c r="ED9" s="2986"/>
      <c r="EE9" s="2986"/>
      <c r="EF9" s="2986"/>
      <c r="EG9" s="2986"/>
      <c r="EH9" s="2986"/>
      <c r="EI9" s="2986"/>
      <c r="EJ9" s="2986"/>
      <c r="EK9" s="2986"/>
      <c r="EL9" s="2986"/>
      <c r="EM9" s="2986"/>
      <c r="EN9" s="2986"/>
      <c r="EO9" s="2986"/>
      <c r="EP9" s="2986"/>
      <c r="EQ9" s="2986"/>
      <c r="ER9" s="2986"/>
      <c r="ES9" s="2986"/>
      <c r="ET9" s="2986"/>
      <c r="EU9" s="2986"/>
      <c r="EV9" s="2986"/>
      <c r="EW9" s="2986"/>
      <c r="EX9" s="2986"/>
      <c r="EY9" s="2986"/>
      <c r="EZ9" s="2986"/>
      <c r="FA9" s="2986"/>
      <c r="FB9" s="2986"/>
      <c r="FC9" s="2986"/>
      <c r="FD9" s="2986"/>
      <c r="FE9" s="2986"/>
      <c r="FF9" s="2986"/>
      <c r="FG9" s="2986"/>
      <c r="FH9" s="2986"/>
      <c r="FI9" s="2986"/>
      <c r="FJ9" s="2986"/>
      <c r="FK9" s="2986"/>
      <c r="FL9" s="2986"/>
      <c r="FM9" s="2986"/>
      <c r="FN9" s="2986"/>
      <c r="FO9" s="2986"/>
      <c r="FP9" s="2986"/>
      <c r="FQ9" s="2986"/>
      <c r="FR9" s="2986"/>
      <c r="FS9" s="2986"/>
      <c r="FT9" s="2986"/>
      <c r="FU9" s="2986"/>
      <c r="FV9" s="2986"/>
      <c r="FW9" s="2986"/>
      <c r="FX9" s="2986"/>
      <c r="FY9" s="2986"/>
      <c r="FZ9" s="2986"/>
      <c r="GA9" s="2986"/>
      <c r="GB9" s="2986"/>
      <c r="GC9" s="2986"/>
      <c r="GD9" s="2986"/>
      <c r="GE9" s="2986"/>
      <c r="GF9" s="2986"/>
      <c r="GG9" s="2986"/>
      <c r="GH9" s="2986"/>
      <c r="GI9" s="2986"/>
      <c r="GJ9" s="2986"/>
      <c r="GK9" s="2986"/>
      <c r="GL9" s="2986"/>
      <c r="GM9" s="2986"/>
      <c r="GN9" s="2986"/>
      <c r="GO9" s="2986"/>
      <c r="GP9" s="2986"/>
      <c r="GQ9" s="2986"/>
      <c r="GR9" s="2986"/>
      <c r="GS9" s="2986"/>
      <c r="GT9" s="2986"/>
      <c r="GU9" s="2986"/>
      <c r="GV9" s="2986"/>
      <c r="GW9" s="2986"/>
      <c r="GX9" s="2986"/>
      <c r="GY9" s="2986"/>
      <c r="GZ9" s="2986"/>
      <c r="HA9" s="2986"/>
      <c r="HB9" s="2986"/>
      <c r="HC9" s="2986"/>
      <c r="HD9" s="2986"/>
      <c r="HE9" s="2986"/>
      <c r="HF9" s="2986"/>
      <c r="HG9" s="2986"/>
      <c r="HH9" s="2986"/>
      <c r="HI9" s="2986"/>
      <c r="HJ9" s="2986"/>
      <c r="HK9" s="2986"/>
      <c r="HL9" s="2986"/>
      <c r="HM9" s="2986"/>
      <c r="HN9" s="2986"/>
      <c r="HO9" s="2986"/>
      <c r="HP9" s="2986"/>
      <c r="HQ9" s="2986"/>
      <c r="HR9" s="2986"/>
      <c r="HS9" s="2986"/>
      <c r="HT9" s="2986"/>
      <c r="HU9" s="2986"/>
      <c r="HV9" s="2986"/>
      <c r="HW9" s="2986"/>
      <c r="HX9" s="2986"/>
      <c r="HY9" s="2986"/>
      <c r="HZ9" s="2986"/>
      <c r="IA9" s="2986"/>
      <c r="IB9" s="2986"/>
      <c r="IC9" s="2986"/>
      <c r="ID9" s="2986"/>
      <c r="IE9" s="2986"/>
      <c r="IF9" s="2986"/>
      <c r="IG9" s="2986"/>
      <c r="IH9" s="2986"/>
      <c r="II9" s="2986"/>
      <c r="IJ9" s="2986"/>
      <c r="IK9" s="2986"/>
      <c r="IL9" s="2986"/>
      <c r="IM9" s="2986"/>
      <c r="IN9" s="2986"/>
      <c r="IO9" s="2986"/>
      <c r="IP9" s="2986"/>
      <c r="IQ9" s="2986"/>
      <c r="IR9" s="2986"/>
      <c r="IS9" s="2986"/>
      <c r="IT9" s="2986"/>
      <c r="IU9" s="2986"/>
      <c r="IV9" s="2986"/>
      <c r="IW9" s="2987"/>
    </row>
    <row r="10" spans="1:257" ht="22.5">
      <c r="A10" s="2988"/>
      <c r="B10" s="2989" t="s">
        <v>2797</v>
      </c>
      <c r="C10" s="2988"/>
      <c r="D10" s="2988"/>
      <c r="E10" s="2988"/>
      <c r="F10" s="2988"/>
      <c r="G10" s="2988"/>
      <c r="H10" s="2988"/>
      <c r="I10" s="2962"/>
      <c r="J10" s="2962"/>
      <c r="K10" s="2988"/>
      <c r="L10" s="2989" t="s">
        <v>2798</v>
      </c>
      <c r="M10" s="2988"/>
      <c r="N10" s="2988"/>
      <c r="O10" s="2988"/>
      <c r="P10" s="2988"/>
      <c r="Q10" s="2988"/>
      <c r="R10" s="2988"/>
      <c r="S10" s="2988"/>
      <c r="T10" s="2988"/>
      <c r="U10" s="2988"/>
      <c r="V10" s="2988"/>
      <c r="W10" s="2988"/>
      <c r="X10" s="2988"/>
      <c r="Y10" s="2988"/>
      <c r="Z10" s="2988"/>
      <c r="AA10" s="2990"/>
      <c r="AB10" s="2990"/>
      <c r="AC10" s="2990"/>
      <c r="AD10" s="2990"/>
      <c r="AE10" s="2990"/>
      <c r="AF10" s="2990"/>
      <c r="AG10" s="2990"/>
      <c r="AH10" s="2990"/>
      <c r="AI10" s="2990"/>
      <c r="AJ10" s="2990"/>
      <c r="AK10" s="2990"/>
      <c r="AL10" s="2990"/>
      <c r="AM10" s="2990"/>
      <c r="AN10" s="2990"/>
      <c r="AO10" s="2990"/>
      <c r="AP10" s="2990"/>
      <c r="AQ10" s="2990"/>
      <c r="AR10" s="2990"/>
      <c r="AS10" s="2990"/>
      <c r="AT10" s="2990"/>
      <c r="AU10" s="2990"/>
      <c r="AV10" s="2990"/>
      <c r="AW10" s="2990"/>
      <c r="AX10" s="2990"/>
      <c r="AY10" s="2990"/>
      <c r="AZ10" s="2990"/>
      <c r="BA10" s="2990"/>
      <c r="BB10" s="2990"/>
      <c r="BC10" s="2990"/>
      <c r="BD10" s="2990"/>
      <c r="BE10" s="2990"/>
      <c r="BF10" s="2990"/>
      <c r="BG10" s="2990"/>
      <c r="BH10" s="2990"/>
      <c r="BI10" s="2990"/>
      <c r="BJ10" s="2990"/>
      <c r="BK10" s="2990"/>
      <c r="BL10" s="2990"/>
      <c r="BM10" s="2990"/>
      <c r="BN10" s="2990"/>
      <c r="BO10" s="2990"/>
      <c r="BP10" s="2990"/>
      <c r="BQ10" s="2990"/>
      <c r="BR10" s="2990"/>
      <c r="BS10" s="2990"/>
      <c r="BT10" s="2990"/>
      <c r="BU10" s="2990"/>
      <c r="BV10" s="2990"/>
      <c r="BW10" s="2990"/>
      <c r="BX10" s="2990"/>
      <c r="BY10" s="2990"/>
      <c r="BZ10" s="2990"/>
      <c r="CA10" s="2990"/>
      <c r="CB10" s="2990"/>
      <c r="CC10" s="2990"/>
      <c r="CD10" s="2990"/>
      <c r="CE10" s="2990"/>
      <c r="CF10" s="2990"/>
      <c r="CG10" s="2990"/>
      <c r="CH10" s="2990"/>
      <c r="CI10" s="2990"/>
      <c r="CJ10" s="2990"/>
      <c r="CK10" s="2990"/>
      <c r="CL10" s="2990"/>
      <c r="CM10" s="2990"/>
      <c r="CN10" s="2990"/>
      <c r="CO10" s="2990"/>
      <c r="CP10" s="2990"/>
      <c r="CQ10" s="2990"/>
      <c r="CR10" s="2990"/>
      <c r="CS10" s="2990"/>
      <c r="CT10" s="2990"/>
      <c r="CU10" s="2990"/>
      <c r="CV10" s="2990"/>
      <c r="CW10" s="2990"/>
      <c r="CX10" s="2990"/>
      <c r="CY10" s="2990"/>
      <c r="CZ10" s="2990"/>
      <c r="DA10" s="2990"/>
      <c r="DB10" s="2990"/>
      <c r="DC10" s="2990"/>
      <c r="DD10" s="2990"/>
      <c r="DE10" s="2990"/>
      <c r="DF10" s="2990"/>
      <c r="DG10" s="2990"/>
      <c r="DH10" s="2990"/>
      <c r="DI10" s="2990"/>
      <c r="DJ10" s="2990"/>
      <c r="DK10" s="2990"/>
      <c r="DL10" s="2990"/>
      <c r="DM10" s="2990"/>
      <c r="DN10" s="2990"/>
      <c r="DO10" s="2990"/>
      <c r="DP10" s="2990"/>
      <c r="DQ10" s="2990"/>
      <c r="DR10" s="2990"/>
      <c r="DS10" s="2990"/>
      <c r="DT10" s="2990"/>
      <c r="DU10" s="2990"/>
      <c r="DV10" s="2990"/>
      <c r="DW10" s="2990"/>
      <c r="DX10" s="2990"/>
      <c r="DY10" s="2990"/>
      <c r="DZ10" s="2990"/>
      <c r="EA10" s="2990"/>
      <c r="EB10" s="2990"/>
      <c r="EC10" s="2990"/>
      <c r="ED10" s="2990"/>
      <c r="EE10" s="2990"/>
      <c r="EF10" s="2990"/>
      <c r="EG10" s="2990"/>
      <c r="EH10" s="2990"/>
      <c r="EI10" s="2990"/>
      <c r="EJ10" s="2990"/>
      <c r="EK10" s="2990"/>
      <c r="EL10" s="2990"/>
      <c r="EM10" s="2990"/>
      <c r="EN10" s="2990"/>
      <c r="EO10" s="2990"/>
      <c r="EP10" s="2990"/>
      <c r="EQ10" s="2990"/>
      <c r="ER10" s="2990"/>
      <c r="ES10" s="2990"/>
      <c r="ET10" s="2990"/>
      <c r="EU10" s="2990"/>
      <c r="EV10" s="2990"/>
      <c r="EW10" s="2990"/>
      <c r="EX10" s="2990"/>
      <c r="EY10" s="2990"/>
      <c r="EZ10" s="2990"/>
      <c r="FA10" s="2990"/>
      <c r="FB10" s="2990"/>
      <c r="FC10" s="2990"/>
      <c r="FD10" s="2990"/>
      <c r="FE10" s="2990"/>
      <c r="FF10" s="2990"/>
      <c r="FG10" s="2990"/>
      <c r="FH10" s="2990"/>
      <c r="FI10" s="2990"/>
      <c r="FJ10" s="2990"/>
      <c r="FK10" s="2990"/>
      <c r="FL10" s="2990"/>
      <c r="FM10" s="2990"/>
      <c r="FN10" s="2990"/>
      <c r="FO10" s="2990"/>
      <c r="FP10" s="2990"/>
      <c r="FQ10" s="2990"/>
      <c r="FR10" s="2990"/>
      <c r="FS10" s="2990"/>
      <c r="FT10" s="2990"/>
      <c r="FU10" s="2990"/>
      <c r="FV10" s="2990"/>
      <c r="FW10" s="2990"/>
      <c r="FX10" s="2990"/>
      <c r="FY10" s="2990"/>
      <c r="FZ10" s="2990"/>
      <c r="GA10" s="2990"/>
      <c r="GB10" s="2990"/>
      <c r="GC10" s="2990"/>
      <c r="GD10" s="2990"/>
      <c r="GE10" s="2990"/>
      <c r="GF10" s="2990"/>
      <c r="GG10" s="2990"/>
      <c r="GH10" s="2990"/>
      <c r="GI10" s="2990"/>
      <c r="GJ10" s="2990"/>
      <c r="GK10" s="2990"/>
      <c r="GL10" s="2990"/>
      <c r="GM10" s="2990"/>
      <c r="GN10" s="2990"/>
      <c r="GO10" s="2990"/>
      <c r="GP10" s="2990"/>
      <c r="GQ10" s="2990"/>
      <c r="GR10" s="2990"/>
      <c r="GS10" s="2990"/>
      <c r="GT10" s="2990"/>
      <c r="GU10" s="2990"/>
      <c r="GV10" s="2990"/>
      <c r="GW10" s="2990"/>
      <c r="GX10" s="2990"/>
      <c r="GY10" s="2990"/>
      <c r="GZ10" s="2990"/>
      <c r="HA10" s="2990"/>
      <c r="HB10" s="2990"/>
      <c r="HC10" s="2990"/>
      <c r="HD10" s="2990"/>
      <c r="HE10" s="2990"/>
      <c r="HF10" s="2990"/>
      <c r="HG10" s="2990"/>
      <c r="HH10" s="2990"/>
      <c r="HI10" s="2990"/>
      <c r="HJ10" s="2990"/>
      <c r="HK10" s="2990"/>
      <c r="HL10" s="2990"/>
      <c r="HM10" s="2990"/>
      <c r="HN10" s="2990"/>
      <c r="HO10" s="2990"/>
      <c r="HP10" s="2990"/>
      <c r="HQ10" s="2990"/>
      <c r="HR10" s="2990"/>
      <c r="HS10" s="2990"/>
      <c r="HT10" s="2990"/>
      <c r="HU10" s="2990"/>
      <c r="HV10" s="2990"/>
      <c r="HW10" s="2990"/>
      <c r="HX10" s="2990"/>
      <c r="HY10" s="2990"/>
      <c r="HZ10" s="2990"/>
      <c r="IA10" s="2990"/>
      <c r="IB10" s="2990"/>
      <c r="IC10" s="2990"/>
      <c r="ID10" s="2990"/>
      <c r="IE10" s="2990"/>
      <c r="IF10" s="2990"/>
      <c r="IG10" s="2990"/>
      <c r="IH10" s="2990"/>
      <c r="II10" s="2990"/>
      <c r="IJ10" s="2990"/>
      <c r="IK10" s="2990"/>
      <c r="IL10" s="2990"/>
      <c r="IM10" s="2990"/>
      <c r="IN10" s="2990"/>
      <c r="IO10" s="2990"/>
      <c r="IP10" s="2990"/>
      <c r="IQ10" s="2990"/>
      <c r="IR10" s="2990"/>
      <c r="IS10" s="2990"/>
      <c r="IT10" s="2990"/>
      <c r="IU10" s="2990"/>
      <c r="IV10" s="2990"/>
    </row>
    <row r="11" spans="1:257">
      <c r="A11" s="2991"/>
      <c r="B11" s="2992" t="s">
        <v>2799</v>
      </c>
      <c r="C11" s="2993" t="s">
        <v>2800</v>
      </c>
      <c r="D11" s="2994" t="s">
        <v>2801</v>
      </c>
      <c r="E11" s="2995"/>
      <c r="F11" s="2994" t="s">
        <v>2802</v>
      </c>
      <c r="G11" s="2996"/>
      <c r="H11" s="2995"/>
      <c r="I11" s="2994" t="s">
        <v>2803</v>
      </c>
      <c r="J11" s="2995"/>
      <c r="K11" s="2991"/>
      <c r="L11" s="2992" t="s">
        <v>2799</v>
      </c>
      <c r="M11" s="2993" t="s">
        <v>2800</v>
      </c>
      <c r="N11" s="2992" t="s">
        <v>2804</v>
      </c>
      <c r="O11" s="2994" t="s">
        <v>2805</v>
      </c>
      <c r="P11" s="2996"/>
      <c r="Q11" s="2996"/>
      <c r="R11" s="2996"/>
      <c r="S11" s="2996"/>
      <c r="T11" s="2995"/>
      <c r="U11" s="2994" t="s">
        <v>2806</v>
      </c>
      <c r="V11" s="2996"/>
      <c r="W11" s="2995"/>
      <c r="X11" s="2992" t="s">
        <v>2807</v>
      </c>
      <c r="Y11" s="2992" t="s">
        <v>2808</v>
      </c>
      <c r="Z11" s="2992" t="s">
        <v>2809</v>
      </c>
      <c r="AA11" s="2997"/>
      <c r="AB11" s="2997"/>
      <c r="AC11" s="2997"/>
      <c r="AD11" s="2997"/>
      <c r="AE11" s="2997"/>
      <c r="AF11" s="2997"/>
      <c r="AG11" s="2997"/>
      <c r="AH11" s="2997"/>
      <c r="AI11" s="2997"/>
      <c r="AJ11" s="2997"/>
      <c r="AK11" s="2997"/>
      <c r="AL11" s="2997"/>
      <c r="AM11" s="2997"/>
      <c r="AN11" s="2997"/>
      <c r="AO11" s="2997"/>
      <c r="AP11" s="2997"/>
      <c r="AQ11" s="2997"/>
      <c r="AR11" s="2997"/>
      <c r="AS11" s="2997"/>
      <c r="AT11" s="2997"/>
      <c r="AU11" s="2997"/>
      <c r="AV11" s="2997"/>
      <c r="AW11" s="2997"/>
      <c r="AX11" s="2997"/>
      <c r="AY11" s="2997"/>
      <c r="AZ11" s="2997"/>
      <c r="BA11" s="2997"/>
      <c r="BB11" s="2997"/>
      <c r="BC11" s="2997"/>
      <c r="BD11" s="2997"/>
      <c r="BE11" s="2997"/>
      <c r="BF11" s="2997"/>
      <c r="BG11" s="2997"/>
      <c r="BH11" s="2997"/>
      <c r="BI11" s="2997"/>
      <c r="BJ11" s="2997"/>
      <c r="BK11" s="2997"/>
      <c r="BL11" s="2997"/>
      <c r="BM11" s="2997"/>
      <c r="BN11" s="2997"/>
      <c r="BO11" s="2997"/>
      <c r="BP11" s="2997"/>
      <c r="BQ11" s="2997"/>
      <c r="BR11" s="2997"/>
      <c r="BS11" s="2997"/>
      <c r="BT11" s="2997"/>
      <c r="BU11" s="2997"/>
      <c r="BV11" s="2997"/>
      <c r="BW11" s="2997"/>
      <c r="BX11" s="2997"/>
      <c r="BY11" s="2997"/>
      <c r="BZ11" s="2997"/>
      <c r="CA11" s="2997"/>
      <c r="CB11" s="2997"/>
      <c r="CC11" s="2997"/>
      <c r="CD11" s="2997"/>
      <c r="CE11" s="2997"/>
      <c r="CF11" s="2997"/>
      <c r="CG11" s="2997"/>
      <c r="CH11" s="2997"/>
      <c r="CI11" s="2997"/>
      <c r="CJ11" s="2997"/>
      <c r="CK11" s="2997"/>
      <c r="CL11" s="2997"/>
      <c r="CM11" s="2997"/>
      <c r="CN11" s="2997"/>
      <c r="CO11" s="2997"/>
      <c r="CP11" s="2997"/>
      <c r="CQ11" s="2997"/>
      <c r="CR11" s="2997"/>
      <c r="CS11" s="2997"/>
      <c r="CT11" s="2997"/>
      <c r="CU11" s="2997"/>
      <c r="CV11" s="2997"/>
      <c r="CW11" s="2997"/>
      <c r="CX11" s="2997"/>
      <c r="CY11" s="2997"/>
      <c r="CZ11" s="2997"/>
      <c r="DA11" s="2997"/>
      <c r="DB11" s="2997"/>
      <c r="DC11" s="2997"/>
      <c r="DD11" s="2997"/>
      <c r="DE11" s="2997"/>
      <c r="DF11" s="2997"/>
      <c r="DG11" s="2997"/>
      <c r="DH11" s="2997"/>
      <c r="DI11" s="2997"/>
      <c r="DJ11" s="2997"/>
      <c r="DK11" s="2997"/>
      <c r="DL11" s="2997"/>
      <c r="DM11" s="2997"/>
      <c r="DN11" s="2997"/>
      <c r="DO11" s="2997"/>
      <c r="DP11" s="2997"/>
      <c r="DQ11" s="2997"/>
      <c r="DR11" s="2997"/>
      <c r="DS11" s="2997"/>
      <c r="DT11" s="2997"/>
      <c r="DU11" s="2997"/>
      <c r="DV11" s="2997"/>
      <c r="DW11" s="2997"/>
      <c r="DX11" s="2997"/>
      <c r="DY11" s="2997"/>
      <c r="DZ11" s="2997"/>
      <c r="EA11" s="2997"/>
      <c r="EB11" s="2997"/>
      <c r="EC11" s="2997"/>
      <c r="ED11" s="2997"/>
      <c r="EE11" s="2997"/>
      <c r="EF11" s="2997"/>
      <c r="EG11" s="2997"/>
      <c r="EH11" s="2997"/>
      <c r="EI11" s="2997"/>
      <c r="EJ11" s="2997"/>
      <c r="EK11" s="2997"/>
      <c r="EL11" s="2997"/>
      <c r="EM11" s="2997"/>
      <c r="EN11" s="2997"/>
      <c r="EO11" s="2997"/>
      <c r="EP11" s="2997"/>
      <c r="EQ11" s="2997"/>
      <c r="ER11" s="2997"/>
      <c r="ES11" s="2997"/>
      <c r="ET11" s="2997"/>
      <c r="EU11" s="2997"/>
      <c r="EV11" s="2997"/>
      <c r="EW11" s="2997"/>
      <c r="EX11" s="2997"/>
      <c r="EY11" s="2997"/>
      <c r="EZ11" s="2997"/>
      <c r="FA11" s="2997"/>
      <c r="FB11" s="2997"/>
      <c r="FC11" s="2997"/>
      <c r="FD11" s="2997"/>
      <c r="FE11" s="2997"/>
      <c r="FF11" s="2997"/>
      <c r="FG11" s="2997"/>
      <c r="FH11" s="2997"/>
      <c r="FI11" s="2997"/>
      <c r="FJ11" s="2997"/>
      <c r="FK11" s="2997"/>
      <c r="FL11" s="2997"/>
      <c r="FM11" s="2997"/>
      <c r="FN11" s="2997"/>
      <c r="FO11" s="2997"/>
      <c r="FP11" s="2997"/>
      <c r="FQ11" s="2997"/>
      <c r="FR11" s="2997"/>
      <c r="FS11" s="2997"/>
      <c r="FT11" s="2997"/>
      <c r="FU11" s="2997"/>
      <c r="FV11" s="2997"/>
      <c r="FW11" s="2997"/>
      <c r="FX11" s="2997"/>
      <c r="FY11" s="2997"/>
      <c r="FZ11" s="2997"/>
      <c r="GA11" s="2997"/>
      <c r="GB11" s="2997"/>
      <c r="GC11" s="2997"/>
      <c r="GD11" s="2997"/>
      <c r="GE11" s="2997"/>
      <c r="GF11" s="2997"/>
      <c r="GG11" s="2997"/>
      <c r="GH11" s="2997"/>
      <c r="GI11" s="2997"/>
      <c r="GJ11" s="2997"/>
      <c r="GK11" s="2997"/>
      <c r="GL11" s="2997"/>
      <c r="GM11" s="2997"/>
      <c r="GN11" s="2997"/>
      <c r="GO11" s="2997"/>
      <c r="GP11" s="2997"/>
      <c r="GQ11" s="2997"/>
      <c r="GR11" s="2997"/>
      <c r="GS11" s="2997"/>
      <c r="GT11" s="2997"/>
      <c r="GU11" s="2997"/>
      <c r="GV11" s="2997"/>
      <c r="GW11" s="2997"/>
      <c r="GX11" s="2997"/>
      <c r="GY11" s="2997"/>
      <c r="GZ11" s="2997"/>
      <c r="HA11" s="2997"/>
      <c r="HB11" s="2997"/>
      <c r="HC11" s="2997"/>
      <c r="HD11" s="2997"/>
      <c r="HE11" s="2997"/>
      <c r="HF11" s="2997"/>
      <c r="HG11" s="2997"/>
      <c r="HH11" s="2997"/>
      <c r="HI11" s="2997"/>
      <c r="HJ11" s="2997"/>
      <c r="HK11" s="2997"/>
      <c r="HL11" s="2997"/>
      <c r="HM11" s="2997"/>
      <c r="HN11" s="2997"/>
      <c r="HO11" s="2997"/>
      <c r="HP11" s="2997"/>
      <c r="HQ11" s="2997"/>
      <c r="HR11" s="2997"/>
      <c r="HS11" s="2997"/>
      <c r="HT11" s="2997"/>
      <c r="HU11" s="2997"/>
      <c r="HV11" s="2997"/>
      <c r="HW11" s="2997"/>
      <c r="HX11" s="2997"/>
      <c r="HY11" s="2997"/>
      <c r="HZ11" s="2997"/>
      <c r="IA11" s="2997"/>
      <c r="IB11" s="2997"/>
      <c r="IC11" s="2997"/>
      <c r="ID11" s="2997"/>
      <c r="IE11" s="2997"/>
      <c r="IF11" s="2997"/>
      <c r="IG11" s="2997"/>
      <c r="IH11" s="2997"/>
      <c r="II11" s="2997"/>
      <c r="IJ11" s="2997"/>
      <c r="IK11" s="2997"/>
      <c r="IL11" s="2997"/>
      <c r="IM11" s="2997"/>
      <c r="IN11" s="2997"/>
      <c r="IO11" s="2997"/>
      <c r="IP11" s="2997"/>
      <c r="IQ11" s="2997"/>
      <c r="IR11" s="2997"/>
      <c r="IS11" s="2997"/>
      <c r="IT11" s="2997"/>
      <c r="IU11" s="2997"/>
      <c r="IV11" s="2997"/>
    </row>
    <row r="12" spans="1:257">
      <c r="A12" s="2998"/>
      <c r="B12" s="2999"/>
      <c r="C12" s="3000"/>
      <c r="D12" s="3001" t="s">
        <v>2810</v>
      </c>
      <c r="E12" s="3001" t="s">
        <v>2811</v>
      </c>
      <c r="F12" s="3001" t="s">
        <v>2812</v>
      </c>
      <c r="G12" s="3001" t="s">
        <v>2813</v>
      </c>
      <c r="H12" s="3001" t="s">
        <v>2795</v>
      </c>
      <c r="I12" s="3002" t="s">
        <v>2814</v>
      </c>
      <c r="J12" s="3002" t="s">
        <v>2814</v>
      </c>
      <c r="K12" s="2998"/>
      <c r="L12" s="2999"/>
      <c r="M12" s="3000"/>
      <c r="N12" s="2999"/>
      <c r="O12" s="3002" t="s">
        <v>2815</v>
      </c>
      <c r="P12" s="3002">
        <v>0.5</v>
      </c>
      <c r="Q12" s="3002">
        <v>1</v>
      </c>
      <c r="R12" s="3002">
        <v>2</v>
      </c>
      <c r="S12" s="3002">
        <v>3</v>
      </c>
      <c r="T12" s="3002">
        <v>5</v>
      </c>
      <c r="U12" s="3002">
        <v>1</v>
      </c>
      <c r="V12" s="3002">
        <v>3</v>
      </c>
      <c r="W12" s="3002">
        <v>5</v>
      </c>
      <c r="X12" s="2999"/>
      <c r="Y12" s="2999"/>
      <c r="Z12" s="2999"/>
      <c r="AA12" s="3003"/>
      <c r="AB12" s="3003"/>
      <c r="AC12" s="3003"/>
      <c r="AD12" s="3003"/>
      <c r="AE12" s="3003"/>
      <c r="AF12" s="3003"/>
      <c r="AG12" s="3003"/>
      <c r="AH12" s="3003"/>
      <c r="AI12" s="3003"/>
      <c r="AJ12" s="3003"/>
      <c r="AK12" s="3003"/>
      <c r="AL12" s="3003"/>
      <c r="AM12" s="3003"/>
      <c r="AN12" s="3003"/>
      <c r="AO12" s="3003"/>
      <c r="AP12" s="3003"/>
      <c r="AQ12" s="3003"/>
      <c r="AR12" s="3003"/>
      <c r="AS12" s="3003"/>
      <c r="AT12" s="3003"/>
      <c r="AU12" s="3003"/>
      <c r="AV12" s="3003"/>
      <c r="AW12" s="3003"/>
      <c r="AX12" s="3003"/>
      <c r="AY12" s="3003"/>
      <c r="AZ12" s="3003"/>
      <c r="BA12" s="3003"/>
      <c r="BB12" s="3003"/>
      <c r="BC12" s="3003"/>
      <c r="BD12" s="3003"/>
      <c r="BE12" s="3003"/>
      <c r="BF12" s="3003"/>
      <c r="BG12" s="3003"/>
      <c r="BH12" s="3003"/>
      <c r="BI12" s="3003"/>
      <c r="BJ12" s="3003"/>
      <c r="BK12" s="3003"/>
      <c r="BL12" s="3003"/>
      <c r="BM12" s="3003"/>
      <c r="BN12" s="3003"/>
      <c r="BO12" s="3003"/>
      <c r="BP12" s="3003"/>
      <c r="BQ12" s="3003"/>
      <c r="BR12" s="3003"/>
      <c r="BS12" s="3003"/>
      <c r="BT12" s="3003"/>
      <c r="BU12" s="3003"/>
      <c r="BV12" s="3003"/>
      <c r="BW12" s="3003"/>
      <c r="BX12" s="3003"/>
      <c r="BY12" s="3003"/>
      <c r="BZ12" s="3003"/>
      <c r="CA12" s="3003"/>
      <c r="CB12" s="3003"/>
      <c r="CC12" s="3003"/>
      <c r="CD12" s="3003"/>
      <c r="CE12" s="3003"/>
      <c r="CF12" s="3003"/>
      <c r="CG12" s="3003"/>
      <c r="CH12" s="3003"/>
      <c r="CI12" s="3003"/>
      <c r="CJ12" s="3003"/>
      <c r="CK12" s="3003"/>
      <c r="CL12" s="3003"/>
      <c r="CM12" s="3003"/>
      <c r="CN12" s="3003"/>
      <c r="CO12" s="3003"/>
      <c r="CP12" s="3003"/>
      <c r="CQ12" s="3003"/>
      <c r="CR12" s="3003"/>
      <c r="CS12" s="3003"/>
      <c r="CT12" s="3003"/>
      <c r="CU12" s="3003"/>
      <c r="CV12" s="3003"/>
      <c r="CW12" s="3003"/>
      <c r="CX12" s="3003"/>
      <c r="CY12" s="3003"/>
      <c r="CZ12" s="3003"/>
      <c r="DA12" s="3003"/>
      <c r="DB12" s="3003"/>
      <c r="DC12" s="3003"/>
      <c r="DD12" s="3003"/>
      <c r="DE12" s="3003"/>
      <c r="DF12" s="3003"/>
      <c r="DG12" s="3003"/>
      <c r="DH12" s="3003"/>
      <c r="DI12" s="3003"/>
      <c r="DJ12" s="3003"/>
      <c r="DK12" s="3003"/>
      <c r="DL12" s="3003"/>
      <c r="DM12" s="3003"/>
      <c r="DN12" s="3003"/>
      <c r="DO12" s="3003"/>
      <c r="DP12" s="3003"/>
      <c r="DQ12" s="3003"/>
      <c r="DR12" s="3003"/>
      <c r="DS12" s="3003"/>
      <c r="DT12" s="3003"/>
      <c r="DU12" s="3003"/>
      <c r="DV12" s="3003"/>
      <c r="DW12" s="3003"/>
      <c r="DX12" s="3003"/>
      <c r="DY12" s="3003"/>
      <c r="DZ12" s="3003"/>
      <c r="EA12" s="3003"/>
      <c r="EB12" s="3003"/>
      <c r="EC12" s="3003"/>
      <c r="ED12" s="3003"/>
      <c r="EE12" s="3003"/>
      <c r="EF12" s="3003"/>
      <c r="EG12" s="3003"/>
      <c r="EH12" s="3003"/>
      <c r="EI12" s="3003"/>
      <c r="EJ12" s="3003"/>
      <c r="EK12" s="3003"/>
      <c r="EL12" s="3003"/>
      <c r="EM12" s="3003"/>
      <c r="EN12" s="3003"/>
      <c r="EO12" s="3003"/>
      <c r="EP12" s="3003"/>
      <c r="EQ12" s="3003"/>
      <c r="ER12" s="3003"/>
      <c r="ES12" s="3003"/>
      <c r="ET12" s="3003"/>
      <c r="EU12" s="3003"/>
      <c r="EV12" s="3003"/>
      <c r="EW12" s="3003"/>
      <c r="EX12" s="3003"/>
      <c r="EY12" s="3003"/>
      <c r="EZ12" s="3003"/>
      <c r="FA12" s="3003"/>
      <c r="FB12" s="3003"/>
      <c r="FC12" s="3003"/>
      <c r="FD12" s="3003"/>
      <c r="FE12" s="3003"/>
      <c r="FF12" s="3003"/>
      <c r="FG12" s="3003"/>
      <c r="FH12" s="3003"/>
      <c r="FI12" s="3003"/>
      <c r="FJ12" s="3003"/>
      <c r="FK12" s="3003"/>
      <c r="FL12" s="3003"/>
      <c r="FM12" s="3003"/>
      <c r="FN12" s="3003"/>
      <c r="FO12" s="3003"/>
      <c r="FP12" s="3003"/>
      <c r="FQ12" s="3003"/>
      <c r="FR12" s="3003"/>
      <c r="FS12" s="3003"/>
      <c r="FT12" s="3003"/>
      <c r="FU12" s="3003"/>
      <c r="FV12" s="3003"/>
      <c r="FW12" s="3003"/>
      <c r="FX12" s="3003"/>
      <c r="FY12" s="3003"/>
      <c r="FZ12" s="3003"/>
      <c r="GA12" s="3003"/>
      <c r="GB12" s="3003"/>
      <c r="GC12" s="3003"/>
      <c r="GD12" s="3003"/>
      <c r="GE12" s="3003"/>
      <c r="GF12" s="3003"/>
      <c r="GG12" s="3003"/>
      <c r="GH12" s="3003"/>
      <c r="GI12" s="3003"/>
      <c r="GJ12" s="3003"/>
      <c r="GK12" s="3003"/>
      <c r="GL12" s="3003"/>
      <c r="GM12" s="3003"/>
      <c r="GN12" s="3003"/>
      <c r="GO12" s="3003"/>
      <c r="GP12" s="3003"/>
      <c r="GQ12" s="3003"/>
      <c r="GR12" s="3003"/>
      <c r="GS12" s="3003"/>
      <c r="GT12" s="3003"/>
      <c r="GU12" s="3003"/>
      <c r="GV12" s="3003"/>
      <c r="GW12" s="3003"/>
      <c r="GX12" s="3003"/>
      <c r="GY12" s="3003"/>
      <c r="GZ12" s="3003"/>
      <c r="HA12" s="3003"/>
      <c r="HB12" s="3003"/>
      <c r="HC12" s="3003"/>
      <c r="HD12" s="3003"/>
      <c r="HE12" s="3003"/>
      <c r="HF12" s="3003"/>
      <c r="HG12" s="3003"/>
      <c r="HH12" s="3003"/>
      <c r="HI12" s="3003"/>
      <c r="HJ12" s="3003"/>
      <c r="HK12" s="3003"/>
      <c r="HL12" s="3003"/>
      <c r="HM12" s="3003"/>
      <c r="HN12" s="3003"/>
      <c r="HO12" s="3003"/>
      <c r="HP12" s="3003"/>
      <c r="HQ12" s="3003"/>
      <c r="HR12" s="3003"/>
      <c r="HS12" s="3003"/>
      <c r="HT12" s="3003"/>
      <c r="HU12" s="3003"/>
      <c r="HV12" s="3003"/>
      <c r="HW12" s="3003"/>
      <c r="HX12" s="3003"/>
      <c r="HY12" s="3003"/>
      <c r="HZ12" s="3003"/>
      <c r="IA12" s="3003"/>
      <c r="IB12" s="3003"/>
      <c r="IC12" s="3003"/>
      <c r="ID12" s="3003"/>
      <c r="IE12" s="3003"/>
      <c r="IF12" s="3003"/>
      <c r="IG12" s="3003"/>
      <c r="IH12" s="3003"/>
      <c r="II12" s="3003"/>
      <c r="IJ12" s="3003"/>
      <c r="IK12" s="3003"/>
      <c r="IL12" s="3003"/>
      <c r="IM12" s="3003"/>
      <c r="IN12" s="3003"/>
      <c r="IO12" s="3003"/>
      <c r="IP12" s="3003"/>
      <c r="IQ12" s="3003"/>
      <c r="IR12" s="3003"/>
      <c r="IS12" s="3003"/>
      <c r="IT12" s="3003"/>
      <c r="IU12" s="3003"/>
      <c r="IV12" s="3003"/>
    </row>
    <row r="13" spans="1:257" ht="14.25">
      <c r="A13" s="3004"/>
      <c r="B13" s="3005" t="s">
        <v>2816</v>
      </c>
      <c r="C13" s="3006">
        <v>42301</v>
      </c>
      <c r="D13" s="3007">
        <v>4.3499999999999996</v>
      </c>
      <c r="E13" s="3007">
        <v>4.3499999999999996</v>
      </c>
      <c r="F13" s="3007">
        <v>4.75</v>
      </c>
      <c r="G13" s="3007">
        <v>4.75</v>
      </c>
      <c r="H13" s="3007">
        <v>4.9000000000000004</v>
      </c>
      <c r="I13" s="3007">
        <v>2.75</v>
      </c>
      <c r="J13" s="3007">
        <v>3.25</v>
      </c>
      <c r="K13" s="3004"/>
      <c r="L13" s="3005" t="s">
        <v>2816</v>
      </c>
      <c r="M13" s="3008">
        <v>42301</v>
      </c>
      <c r="N13" s="3007">
        <v>0.35</v>
      </c>
      <c r="O13" s="3007">
        <v>1.1000000000000001</v>
      </c>
      <c r="P13" s="3007">
        <v>1.3</v>
      </c>
      <c r="Q13" s="3007">
        <v>1.5</v>
      </c>
      <c r="R13" s="3007">
        <v>2.1</v>
      </c>
      <c r="S13" s="3007">
        <v>2.75</v>
      </c>
      <c r="T13" s="3007"/>
      <c r="U13" s="3007"/>
      <c r="V13" s="3007"/>
      <c r="W13" s="3007"/>
      <c r="X13" s="3007"/>
      <c r="Y13" s="3007"/>
      <c r="Z13" s="3007"/>
      <c r="AA13" s="3009"/>
      <c r="AB13" s="3009"/>
      <c r="AC13" s="3009"/>
      <c r="AD13" s="3009"/>
      <c r="AE13" s="3009"/>
      <c r="AF13" s="3009"/>
      <c r="AG13" s="3009"/>
      <c r="AH13" s="3009"/>
      <c r="AI13" s="3009"/>
      <c r="AJ13" s="3009"/>
      <c r="AK13" s="3009"/>
      <c r="AL13" s="3009"/>
      <c r="AM13" s="3009"/>
      <c r="AN13" s="3009"/>
      <c r="AO13" s="3009"/>
      <c r="AP13" s="3009"/>
      <c r="AQ13" s="3009"/>
      <c r="AR13" s="3009"/>
      <c r="AS13" s="3009"/>
      <c r="AT13" s="3009"/>
      <c r="AU13" s="3009"/>
      <c r="AV13" s="3009"/>
      <c r="AW13" s="3009"/>
      <c r="AX13" s="3009"/>
      <c r="AY13" s="3009"/>
      <c r="AZ13" s="3009"/>
      <c r="BA13" s="3009"/>
      <c r="BB13" s="3009"/>
      <c r="BC13" s="3009"/>
      <c r="BD13" s="3009"/>
      <c r="BE13" s="3009"/>
      <c r="BF13" s="3009"/>
      <c r="BG13" s="3009"/>
      <c r="BH13" s="3009"/>
      <c r="BI13" s="3009"/>
      <c r="BJ13" s="3009"/>
      <c r="BK13" s="3009"/>
      <c r="BL13" s="3009"/>
      <c r="BM13" s="3009"/>
      <c r="BN13" s="3009"/>
      <c r="BO13" s="3009"/>
      <c r="BP13" s="3009"/>
      <c r="BQ13" s="3009"/>
      <c r="BR13" s="3009"/>
      <c r="BS13" s="3009"/>
      <c r="BT13" s="3009"/>
      <c r="BU13" s="3009"/>
      <c r="BV13" s="3009"/>
      <c r="BW13" s="3009"/>
      <c r="BX13" s="3009"/>
      <c r="BY13" s="3009"/>
      <c r="BZ13" s="3009"/>
      <c r="CA13" s="3009"/>
      <c r="CB13" s="3009"/>
      <c r="CC13" s="3009"/>
      <c r="CD13" s="3009"/>
      <c r="CE13" s="3009"/>
      <c r="CF13" s="3009"/>
      <c r="CG13" s="3009"/>
      <c r="CH13" s="3009"/>
      <c r="CI13" s="3009"/>
      <c r="CJ13" s="3009"/>
      <c r="CK13" s="3009"/>
      <c r="CL13" s="3009"/>
      <c r="CM13" s="3009"/>
      <c r="CN13" s="3009"/>
      <c r="CO13" s="3009"/>
      <c r="CP13" s="3009"/>
      <c r="CQ13" s="3009"/>
      <c r="CR13" s="3009"/>
      <c r="CS13" s="3009"/>
      <c r="CT13" s="3009"/>
      <c r="CU13" s="3009"/>
      <c r="CV13" s="3009"/>
      <c r="CW13" s="3009"/>
      <c r="CX13" s="3009"/>
      <c r="CY13" s="3009"/>
      <c r="CZ13" s="3009"/>
      <c r="DA13" s="3009"/>
      <c r="DB13" s="3009"/>
      <c r="DC13" s="3009"/>
      <c r="DD13" s="3009"/>
      <c r="DE13" s="3009"/>
      <c r="DF13" s="3009"/>
      <c r="DG13" s="3009"/>
      <c r="DH13" s="3009"/>
      <c r="DI13" s="3009"/>
      <c r="DJ13" s="3009"/>
      <c r="DK13" s="3009"/>
      <c r="DL13" s="3009"/>
      <c r="DM13" s="3009"/>
      <c r="DN13" s="3009"/>
      <c r="DO13" s="3009"/>
      <c r="DP13" s="3009"/>
      <c r="DQ13" s="3009"/>
      <c r="DR13" s="3009"/>
      <c r="DS13" s="3009"/>
      <c r="DT13" s="3009"/>
      <c r="DU13" s="3009"/>
      <c r="DV13" s="3009"/>
      <c r="DW13" s="3009"/>
      <c r="DX13" s="3009"/>
      <c r="DY13" s="3009"/>
      <c r="DZ13" s="3009"/>
      <c r="EA13" s="3009"/>
      <c r="EB13" s="3009"/>
      <c r="EC13" s="3009"/>
      <c r="ED13" s="3009"/>
      <c r="EE13" s="3009"/>
      <c r="EF13" s="3009"/>
      <c r="EG13" s="3009"/>
      <c r="EH13" s="3009"/>
      <c r="EI13" s="3009"/>
      <c r="EJ13" s="3009"/>
      <c r="EK13" s="3009"/>
      <c r="EL13" s="3009"/>
      <c r="EM13" s="3009"/>
      <c r="EN13" s="3009"/>
      <c r="EO13" s="3009"/>
      <c r="EP13" s="3009"/>
      <c r="EQ13" s="3009"/>
      <c r="ER13" s="3009"/>
      <c r="ES13" s="3009"/>
      <c r="ET13" s="3009"/>
      <c r="EU13" s="3009"/>
      <c r="EV13" s="3009"/>
      <c r="EW13" s="3009"/>
      <c r="EX13" s="3009"/>
      <c r="EY13" s="3009"/>
      <c r="EZ13" s="3009"/>
      <c r="FA13" s="3009"/>
      <c r="FB13" s="3009"/>
      <c r="FC13" s="3009"/>
      <c r="FD13" s="3009"/>
      <c r="FE13" s="3009"/>
      <c r="FF13" s="3009"/>
      <c r="FG13" s="3009"/>
      <c r="FH13" s="3009"/>
      <c r="FI13" s="3009"/>
      <c r="FJ13" s="3009"/>
      <c r="FK13" s="3009"/>
      <c r="FL13" s="3009"/>
      <c r="FM13" s="3009"/>
      <c r="FN13" s="3009"/>
      <c r="FO13" s="3009"/>
      <c r="FP13" s="3009"/>
      <c r="FQ13" s="3009"/>
      <c r="FR13" s="3009"/>
      <c r="FS13" s="3009"/>
      <c r="FT13" s="3009"/>
      <c r="FU13" s="3009"/>
      <c r="FV13" s="3009"/>
      <c r="FW13" s="3009"/>
      <c r="FX13" s="3009"/>
      <c r="FY13" s="3009"/>
      <c r="FZ13" s="3009"/>
      <c r="GA13" s="3009"/>
      <c r="GB13" s="3009"/>
      <c r="GC13" s="3009"/>
      <c r="GD13" s="3009"/>
      <c r="GE13" s="3009"/>
      <c r="GF13" s="3009"/>
      <c r="GG13" s="3009"/>
      <c r="GH13" s="3009"/>
      <c r="GI13" s="3009"/>
      <c r="GJ13" s="3009"/>
      <c r="GK13" s="3009"/>
      <c r="GL13" s="3009"/>
      <c r="GM13" s="3009"/>
      <c r="GN13" s="3009"/>
      <c r="GO13" s="3009"/>
      <c r="GP13" s="3009"/>
      <c r="GQ13" s="3009"/>
      <c r="GR13" s="3009"/>
      <c r="GS13" s="3009"/>
      <c r="GT13" s="3009"/>
      <c r="GU13" s="3009"/>
      <c r="GV13" s="3009"/>
      <c r="GW13" s="3009"/>
      <c r="GX13" s="3009"/>
      <c r="GY13" s="3009"/>
      <c r="GZ13" s="3009"/>
      <c r="HA13" s="3009"/>
      <c r="HB13" s="3009"/>
      <c r="HC13" s="3009"/>
      <c r="HD13" s="3009"/>
      <c r="HE13" s="3009"/>
      <c r="HF13" s="3009"/>
      <c r="HG13" s="3009"/>
      <c r="HH13" s="3009"/>
      <c r="HI13" s="3009"/>
      <c r="HJ13" s="3009"/>
      <c r="HK13" s="3009"/>
      <c r="HL13" s="3009"/>
      <c r="HM13" s="3009"/>
      <c r="HN13" s="3009"/>
      <c r="HO13" s="3009"/>
      <c r="HP13" s="3009"/>
      <c r="HQ13" s="3009"/>
      <c r="HR13" s="3009"/>
      <c r="HS13" s="3009"/>
      <c r="HT13" s="3009"/>
      <c r="HU13" s="3009"/>
      <c r="HV13" s="3009"/>
      <c r="HW13" s="3009"/>
      <c r="HX13" s="3009"/>
      <c r="HY13" s="3009"/>
      <c r="HZ13" s="3009"/>
      <c r="IA13" s="3009"/>
      <c r="IB13" s="3009"/>
      <c r="IC13" s="3009"/>
      <c r="ID13" s="3009"/>
      <c r="IE13" s="3009"/>
      <c r="IF13" s="3009"/>
      <c r="IG13" s="3009"/>
      <c r="IH13" s="3009"/>
      <c r="II13" s="3009"/>
      <c r="IJ13" s="3009"/>
      <c r="IK13" s="3009"/>
      <c r="IL13" s="3009"/>
      <c r="IM13" s="3009"/>
      <c r="IN13" s="3009"/>
      <c r="IO13" s="3009"/>
      <c r="IP13" s="3009"/>
      <c r="IQ13" s="3009"/>
      <c r="IR13" s="3009"/>
      <c r="IS13" s="3009"/>
      <c r="IT13" s="3009"/>
      <c r="IU13" s="3009"/>
      <c r="IV13" s="3009"/>
      <c r="IW13" s="3010"/>
    </row>
    <row r="14" spans="1:257">
      <c r="B14" s="3011"/>
      <c r="C14" s="3012">
        <v>42242</v>
      </c>
      <c r="D14" s="3011">
        <v>4.5999999999999996</v>
      </c>
      <c r="E14" s="3011">
        <v>4.5999999999999996</v>
      </c>
      <c r="F14" s="3011">
        <v>5</v>
      </c>
      <c r="G14" s="3011">
        <v>5</v>
      </c>
      <c r="H14" s="3011">
        <v>5.15</v>
      </c>
      <c r="I14" s="3011">
        <v>2.75</v>
      </c>
      <c r="J14" s="3011">
        <v>3.25</v>
      </c>
      <c r="L14" s="3011"/>
      <c r="M14" s="3012">
        <v>42242</v>
      </c>
      <c r="N14" s="3011">
        <v>0.35</v>
      </c>
      <c r="O14" s="3011">
        <v>1.35</v>
      </c>
      <c r="P14" s="3011">
        <v>1.55</v>
      </c>
      <c r="Q14" s="3011">
        <v>1.75</v>
      </c>
      <c r="R14" s="3011">
        <v>2.35</v>
      </c>
      <c r="S14" s="3011">
        <v>3</v>
      </c>
      <c r="T14" s="3011"/>
      <c r="U14" s="3011"/>
      <c r="V14" s="3011"/>
      <c r="W14" s="3011"/>
      <c r="X14" s="3011"/>
      <c r="Y14" s="3011"/>
      <c r="Z14" s="3011"/>
    </row>
    <row r="15" spans="1:257">
      <c r="B15" s="3011"/>
      <c r="C15" s="3012">
        <v>42183</v>
      </c>
      <c r="D15" s="3011">
        <v>4.8499999999999996</v>
      </c>
      <c r="E15" s="3011">
        <v>4.8499999999999996</v>
      </c>
      <c r="F15" s="3011">
        <v>5.25</v>
      </c>
      <c r="G15" s="3011">
        <v>5.25</v>
      </c>
      <c r="H15" s="3011">
        <v>5.4</v>
      </c>
      <c r="I15" s="3011">
        <v>3</v>
      </c>
      <c r="J15" s="3011">
        <v>3.5</v>
      </c>
      <c r="L15" s="3011"/>
      <c r="M15" s="3012">
        <v>42183</v>
      </c>
      <c r="N15" s="3011">
        <v>0.35</v>
      </c>
      <c r="O15" s="3011">
        <v>1.6</v>
      </c>
      <c r="P15" s="3011">
        <v>1.8</v>
      </c>
      <c r="Q15" s="3011">
        <v>2</v>
      </c>
      <c r="R15" s="3011">
        <v>2.6</v>
      </c>
      <c r="S15" s="3011">
        <v>3.25</v>
      </c>
      <c r="T15" s="3011"/>
      <c r="U15" s="3011"/>
      <c r="V15" s="3011"/>
      <c r="W15" s="3011"/>
      <c r="X15" s="3011"/>
      <c r="Y15" s="3011"/>
      <c r="Z15" s="3011"/>
    </row>
    <row r="16" spans="1:257">
      <c r="B16" s="3011"/>
      <c r="C16" s="3012">
        <v>42135</v>
      </c>
      <c r="D16" s="3011">
        <v>5.0999999999999996</v>
      </c>
      <c r="E16" s="3011">
        <v>5.0999999999999996</v>
      </c>
      <c r="F16" s="3011">
        <v>5.5</v>
      </c>
      <c r="G16" s="3011">
        <v>5.5</v>
      </c>
      <c r="H16" s="3011">
        <v>5.65</v>
      </c>
      <c r="I16" s="3011">
        <v>3.25</v>
      </c>
      <c r="J16" s="3011">
        <v>3.75</v>
      </c>
      <c r="L16" s="3011"/>
      <c r="M16" s="3012">
        <v>42135</v>
      </c>
      <c r="N16" s="3011">
        <v>0.35</v>
      </c>
      <c r="O16" s="3011">
        <v>1.85</v>
      </c>
      <c r="P16" s="3011">
        <v>2.0499999999999998</v>
      </c>
      <c r="Q16" s="3011">
        <v>2.25</v>
      </c>
      <c r="R16" s="3011">
        <v>2.85</v>
      </c>
      <c r="S16" s="3011">
        <v>3.5</v>
      </c>
      <c r="T16" s="3011"/>
      <c r="U16" s="3011"/>
      <c r="V16" s="3011"/>
      <c r="W16" s="3011"/>
      <c r="X16" s="3011"/>
      <c r="Y16" s="3011"/>
      <c r="Z16" s="3011"/>
    </row>
    <row r="17" spans="2:26">
      <c r="B17" s="3011"/>
      <c r="C17" s="3012">
        <v>42064</v>
      </c>
      <c r="D17" s="3011">
        <v>5.35</v>
      </c>
      <c r="E17" s="3011">
        <v>5.35</v>
      </c>
      <c r="F17" s="3011">
        <v>5.75</v>
      </c>
      <c r="G17" s="3011">
        <v>5.75</v>
      </c>
      <c r="H17" s="3011">
        <v>5.9</v>
      </c>
      <c r="I17" s="3011"/>
      <c r="J17" s="3011"/>
      <c r="L17" s="3011"/>
      <c r="M17" s="3012">
        <v>42064</v>
      </c>
      <c r="N17" s="3011">
        <v>0.35</v>
      </c>
      <c r="O17" s="3011">
        <v>2.1</v>
      </c>
      <c r="P17" s="3011">
        <v>2.2999999999999998</v>
      </c>
      <c r="Q17" s="3011">
        <v>2.5</v>
      </c>
      <c r="R17" s="3011">
        <v>3.1</v>
      </c>
      <c r="S17" s="3011">
        <v>3.75</v>
      </c>
      <c r="T17" s="3011">
        <v>4.5</v>
      </c>
      <c r="U17" s="3011">
        <v>2.35</v>
      </c>
      <c r="V17" s="3011">
        <v>2.5499999999999998</v>
      </c>
      <c r="W17" s="3011">
        <v>2.75</v>
      </c>
      <c r="X17" s="3011"/>
      <c r="Y17" s="3011">
        <v>0.8</v>
      </c>
      <c r="Z17" s="3011">
        <v>1.35</v>
      </c>
    </row>
    <row r="18" spans="2:26" ht="15">
      <c r="B18" s="3011"/>
      <c r="C18" s="3012">
        <v>41965</v>
      </c>
      <c r="D18" s="3011">
        <v>5.6</v>
      </c>
      <c r="E18" s="3011">
        <v>5.6</v>
      </c>
      <c r="F18" s="3011">
        <v>6</v>
      </c>
      <c r="G18" s="3011">
        <v>6</v>
      </c>
      <c r="H18" s="3011">
        <v>6.15</v>
      </c>
      <c r="I18" s="3011"/>
      <c r="J18" s="3011"/>
      <c r="L18" s="3011"/>
      <c r="M18" s="3012">
        <v>41965</v>
      </c>
      <c r="N18" s="3011">
        <v>0.35</v>
      </c>
      <c r="O18" s="3011">
        <v>2.35</v>
      </c>
      <c r="P18" s="3011">
        <v>2.5499999999999998</v>
      </c>
      <c r="Q18" s="3011">
        <v>2.75</v>
      </c>
      <c r="R18" s="3011">
        <v>3.35</v>
      </c>
      <c r="S18" s="3011">
        <v>4</v>
      </c>
      <c r="T18" s="3011">
        <v>4.75</v>
      </c>
      <c r="U18" s="3013">
        <v>2.35</v>
      </c>
      <c r="V18" s="3013">
        <v>2.5499999999999998</v>
      </c>
      <c r="W18" s="3013">
        <v>2.75</v>
      </c>
      <c r="X18" s="3011"/>
      <c r="Y18" s="3013">
        <v>0.8</v>
      </c>
      <c r="Z18" s="3013">
        <v>1.35</v>
      </c>
    </row>
    <row r="19" spans="2:26">
      <c r="B19" s="3011"/>
      <c r="C19" s="3012">
        <v>41096</v>
      </c>
      <c r="D19" s="3011">
        <v>5.6</v>
      </c>
      <c r="E19" s="3011">
        <v>6</v>
      </c>
      <c r="F19" s="3011">
        <v>6.15</v>
      </c>
      <c r="G19" s="3011">
        <v>6.4</v>
      </c>
      <c r="H19" s="3011">
        <v>6.55</v>
      </c>
      <c r="I19" s="3011">
        <v>4</v>
      </c>
      <c r="J19" s="3011">
        <v>4.5</v>
      </c>
      <c r="L19" s="3011"/>
      <c r="M19" s="3012">
        <v>41096</v>
      </c>
      <c r="N19" s="3011">
        <v>0.35</v>
      </c>
      <c r="O19" s="3011">
        <v>2.6</v>
      </c>
      <c r="P19" s="3011">
        <v>2.8</v>
      </c>
      <c r="Q19" s="3011">
        <v>3</v>
      </c>
      <c r="R19" s="3011">
        <v>3.75</v>
      </c>
      <c r="S19" s="3011">
        <v>4.25</v>
      </c>
      <c r="T19" s="3011">
        <v>4.75</v>
      </c>
      <c r="U19" s="3011">
        <v>2.85</v>
      </c>
      <c r="V19" s="3011">
        <v>2.9</v>
      </c>
      <c r="W19" s="3011">
        <v>3</v>
      </c>
      <c r="X19" s="3011">
        <v>1.1499999999999999</v>
      </c>
      <c r="Y19" s="3011">
        <v>0.8</v>
      </c>
      <c r="Z19" s="3011">
        <v>1.35</v>
      </c>
    </row>
    <row r="20" spans="2:26">
      <c r="B20" s="3011"/>
      <c r="C20" s="3012">
        <v>41068</v>
      </c>
      <c r="D20" s="3011">
        <v>5.85</v>
      </c>
      <c r="E20" s="3011">
        <v>6.31</v>
      </c>
      <c r="F20" s="3011">
        <v>6.4</v>
      </c>
      <c r="G20" s="3011">
        <v>6.65</v>
      </c>
      <c r="H20" s="3011">
        <v>6.8</v>
      </c>
      <c r="I20" s="3011">
        <v>4.2</v>
      </c>
      <c r="J20" s="3011">
        <v>4.7</v>
      </c>
      <c r="L20" s="3011"/>
      <c r="M20" s="3012">
        <v>41068</v>
      </c>
      <c r="N20" s="3011">
        <v>0.4</v>
      </c>
      <c r="O20" s="3011">
        <v>2.85</v>
      </c>
      <c r="P20" s="3011">
        <v>3.05</v>
      </c>
      <c r="Q20" s="3011">
        <v>3.25</v>
      </c>
      <c r="R20" s="3011">
        <v>4.0999999999999996</v>
      </c>
      <c r="S20" s="3011">
        <v>4.6500000000000004</v>
      </c>
      <c r="T20" s="3011">
        <v>5.0999999999999996</v>
      </c>
      <c r="U20" s="3011">
        <v>3.1</v>
      </c>
      <c r="V20" s="3011">
        <v>3.15</v>
      </c>
      <c r="W20" s="3011">
        <v>3.25</v>
      </c>
      <c r="X20" s="3011">
        <v>1.31</v>
      </c>
      <c r="Y20" s="3011">
        <v>0.94</v>
      </c>
      <c r="Z20" s="3011">
        <v>1.49</v>
      </c>
    </row>
    <row r="21" spans="2:26">
      <c r="B21" s="3011"/>
      <c r="C21" s="3012">
        <v>40731</v>
      </c>
      <c r="D21" s="3011">
        <v>6.1</v>
      </c>
      <c r="E21" s="3011">
        <v>6.56</v>
      </c>
      <c r="F21" s="3011">
        <v>6.65</v>
      </c>
      <c r="G21" s="3011">
        <v>6.9</v>
      </c>
      <c r="H21" s="3011">
        <v>7.05</v>
      </c>
      <c r="I21" s="3011">
        <v>4.45</v>
      </c>
      <c r="J21" s="3011">
        <v>4.9000000000000004</v>
      </c>
      <c r="L21" s="3011"/>
      <c r="M21" s="3012">
        <v>40731</v>
      </c>
      <c r="N21" s="3011">
        <v>0.5</v>
      </c>
      <c r="O21" s="3011">
        <v>3.1</v>
      </c>
      <c r="P21" s="3011">
        <v>3.3</v>
      </c>
      <c r="Q21" s="3011">
        <v>3.5</v>
      </c>
      <c r="R21" s="3011">
        <v>4.4000000000000004</v>
      </c>
      <c r="S21" s="3011">
        <v>5</v>
      </c>
      <c r="T21" s="3011">
        <v>5.5</v>
      </c>
      <c r="U21" s="3011">
        <v>3.1</v>
      </c>
      <c r="V21" s="3011">
        <v>3.3</v>
      </c>
      <c r="W21" s="3011">
        <v>3.5</v>
      </c>
      <c r="X21" s="3011">
        <v>1.31</v>
      </c>
      <c r="Y21" s="3011">
        <v>0.95</v>
      </c>
      <c r="Z21" s="3011">
        <v>1.49</v>
      </c>
    </row>
    <row r="22" spans="2:26">
      <c r="B22" s="3011"/>
      <c r="C22" s="3012">
        <v>40639</v>
      </c>
      <c r="D22" s="3011">
        <v>5.85</v>
      </c>
      <c r="E22" s="3011">
        <v>6.31</v>
      </c>
      <c r="F22" s="3011">
        <v>6.4</v>
      </c>
      <c r="G22" s="3011">
        <v>6.65</v>
      </c>
      <c r="H22" s="3011">
        <v>6.8</v>
      </c>
      <c r="I22" s="3011">
        <v>4.2</v>
      </c>
      <c r="J22" s="3011">
        <v>4.7</v>
      </c>
      <c r="L22" s="3011"/>
      <c r="M22" s="3012">
        <v>40639</v>
      </c>
      <c r="N22" s="3011">
        <v>0.5</v>
      </c>
      <c r="O22" s="3011">
        <v>2.85</v>
      </c>
      <c r="P22" s="3011">
        <v>3.05</v>
      </c>
      <c r="Q22" s="3011">
        <v>3.25</v>
      </c>
      <c r="R22" s="3011">
        <v>4.1500000000000004</v>
      </c>
      <c r="S22" s="3011">
        <v>4.75</v>
      </c>
      <c r="T22" s="3011">
        <v>5.25</v>
      </c>
      <c r="U22" s="3011">
        <v>2.85</v>
      </c>
      <c r="V22" s="3011">
        <v>3.05</v>
      </c>
      <c r="W22" s="3011">
        <v>3.25</v>
      </c>
      <c r="X22" s="3011">
        <v>1.31</v>
      </c>
      <c r="Y22" s="3011">
        <v>0.95</v>
      </c>
      <c r="Z22" s="3011">
        <v>1.49</v>
      </c>
    </row>
    <row r="23" spans="2:26">
      <c r="B23" s="3011"/>
      <c r="C23" s="3012">
        <v>40583</v>
      </c>
      <c r="D23" s="3011">
        <v>5.6</v>
      </c>
      <c r="E23" s="3011">
        <v>6.06</v>
      </c>
      <c r="F23" s="3011">
        <v>6.1</v>
      </c>
      <c r="G23" s="3011">
        <v>6.45</v>
      </c>
      <c r="H23" s="3011">
        <v>6.6</v>
      </c>
      <c r="I23" s="3011">
        <v>4</v>
      </c>
      <c r="J23" s="3011">
        <v>4.5</v>
      </c>
      <c r="L23" s="3011"/>
      <c r="M23" s="3012">
        <v>40583</v>
      </c>
      <c r="N23" s="3011">
        <v>0.4</v>
      </c>
      <c r="O23" s="3011">
        <v>2.6</v>
      </c>
      <c r="P23" s="3011">
        <v>2.8</v>
      </c>
      <c r="Q23" s="3011">
        <v>3</v>
      </c>
      <c r="R23" s="3011">
        <v>3.9</v>
      </c>
      <c r="S23" s="3011">
        <v>4.5</v>
      </c>
      <c r="T23" s="3011">
        <v>5</v>
      </c>
      <c r="U23" s="3011">
        <v>2.6</v>
      </c>
      <c r="V23" s="3011">
        <v>2.8</v>
      </c>
      <c r="W23" s="3011">
        <v>3</v>
      </c>
      <c r="X23" s="3011">
        <v>1.21</v>
      </c>
      <c r="Y23" s="3011">
        <v>0.85</v>
      </c>
      <c r="Z23" s="3011">
        <v>1.39</v>
      </c>
    </row>
    <row r="24" spans="2:26">
      <c r="B24" s="3011"/>
      <c r="C24" s="3012">
        <v>40538</v>
      </c>
      <c r="D24" s="3011">
        <v>5.35</v>
      </c>
      <c r="E24" s="3011">
        <v>5.81</v>
      </c>
      <c r="F24" s="3011">
        <v>5.85</v>
      </c>
      <c r="G24" s="3011">
        <v>6.22</v>
      </c>
      <c r="H24" s="3011">
        <v>6.4</v>
      </c>
      <c r="I24" s="3011">
        <v>3.75</v>
      </c>
      <c r="J24" s="3011">
        <v>4.3</v>
      </c>
      <c r="L24" s="3011"/>
      <c r="M24" s="3012">
        <v>40538</v>
      </c>
      <c r="N24" s="3011">
        <v>0.36</v>
      </c>
      <c r="O24" s="3011">
        <v>2.25</v>
      </c>
      <c r="P24" s="3011">
        <v>2.5</v>
      </c>
      <c r="Q24" s="3011">
        <v>2.75</v>
      </c>
      <c r="R24" s="3011">
        <v>3.55</v>
      </c>
      <c r="S24" s="3011">
        <v>4.1500000000000004</v>
      </c>
      <c r="T24" s="3011">
        <v>4.55</v>
      </c>
      <c r="U24" s="3011">
        <v>2.16</v>
      </c>
      <c r="V24" s="3011">
        <v>2.5</v>
      </c>
      <c r="W24" s="3011">
        <v>2.85</v>
      </c>
      <c r="X24" s="3011">
        <v>1.17</v>
      </c>
      <c r="Y24" s="3011">
        <v>0.81</v>
      </c>
      <c r="Z24" s="3011">
        <v>1.35</v>
      </c>
    </row>
    <row r="25" spans="2:26">
      <c r="B25" s="3011"/>
      <c r="C25" s="3012">
        <v>40471</v>
      </c>
      <c r="D25" s="3011">
        <v>5.0999999999999996</v>
      </c>
      <c r="E25" s="3011">
        <v>5.56</v>
      </c>
      <c r="F25" s="3011">
        <v>5.6</v>
      </c>
      <c r="G25" s="3011">
        <v>5.96</v>
      </c>
      <c r="H25" s="3011">
        <v>6.14</v>
      </c>
      <c r="I25" s="3011">
        <v>3.5</v>
      </c>
      <c r="J25" s="3011">
        <v>4.05</v>
      </c>
      <c r="L25" s="3011"/>
      <c r="M25" s="3012">
        <v>40471</v>
      </c>
      <c r="N25" s="3011">
        <v>0.36</v>
      </c>
      <c r="O25" s="3011">
        <v>1.91</v>
      </c>
      <c r="P25" s="3011">
        <v>2.2000000000000002</v>
      </c>
      <c r="Q25" s="3011">
        <v>2.5</v>
      </c>
      <c r="R25" s="3011">
        <v>3.25</v>
      </c>
      <c r="S25" s="3011">
        <v>3.85</v>
      </c>
      <c r="T25" s="3011">
        <v>4.2</v>
      </c>
      <c r="U25" s="3011">
        <v>1.91</v>
      </c>
      <c r="V25" s="3011">
        <v>2.2000000000000002</v>
      </c>
      <c r="W25" s="3011">
        <v>2.5</v>
      </c>
      <c r="X25" s="3011">
        <v>1.17</v>
      </c>
      <c r="Y25" s="3011">
        <v>0.81</v>
      </c>
      <c r="Z25" s="3011">
        <v>1.35</v>
      </c>
    </row>
    <row r="26" spans="2:26">
      <c r="B26" s="3011"/>
      <c r="C26" s="3012">
        <v>39805</v>
      </c>
      <c r="D26" s="3011">
        <v>4.8600000000000003</v>
      </c>
      <c r="E26" s="3011">
        <v>5.31</v>
      </c>
      <c r="F26" s="3011">
        <v>5.4</v>
      </c>
      <c r="G26" s="3011">
        <v>5.76</v>
      </c>
      <c r="H26" s="3011">
        <v>5.94</v>
      </c>
      <c r="I26" s="3011">
        <v>3.33</v>
      </c>
      <c r="J26" s="3011">
        <v>3.87</v>
      </c>
      <c r="L26" s="3011"/>
      <c r="M26" s="3012">
        <v>39805</v>
      </c>
      <c r="N26" s="3011">
        <v>0.36</v>
      </c>
      <c r="O26" s="3011">
        <v>1.71</v>
      </c>
      <c r="P26" s="3011">
        <v>1.98</v>
      </c>
      <c r="Q26" s="3011">
        <v>2.25</v>
      </c>
      <c r="R26" s="3011">
        <v>2.79</v>
      </c>
      <c r="S26" s="3011">
        <v>3.33</v>
      </c>
      <c r="T26" s="3011">
        <v>3.6</v>
      </c>
      <c r="U26" s="3011">
        <v>1.71</v>
      </c>
      <c r="V26" s="3011">
        <v>1.98</v>
      </c>
      <c r="W26" s="3011">
        <v>2.25</v>
      </c>
      <c r="X26" s="3011">
        <v>1.17</v>
      </c>
      <c r="Y26" s="3011">
        <v>0.81</v>
      </c>
      <c r="Z26" s="3011">
        <v>1.35</v>
      </c>
    </row>
    <row r="27" spans="2:26">
      <c r="B27" s="3011"/>
      <c r="C27" s="3012">
        <v>39779</v>
      </c>
      <c r="D27" s="3011">
        <v>5.04</v>
      </c>
      <c r="E27" s="3011">
        <v>5.58</v>
      </c>
      <c r="F27" s="3011">
        <v>5.67</v>
      </c>
      <c r="G27" s="3011">
        <v>5.94</v>
      </c>
      <c r="H27" s="3011">
        <v>6.12</v>
      </c>
      <c r="I27" s="3011">
        <v>3.51</v>
      </c>
      <c r="J27" s="3011">
        <v>4.05</v>
      </c>
      <c r="L27" s="3011"/>
      <c r="M27" s="3012">
        <v>39779</v>
      </c>
      <c r="N27" s="3011">
        <v>0.36</v>
      </c>
      <c r="O27" s="3011">
        <v>1.98</v>
      </c>
      <c r="P27" s="3011">
        <v>2.25</v>
      </c>
      <c r="Q27" s="3011">
        <v>2.52</v>
      </c>
      <c r="R27" s="3011">
        <v>3.06</v>
      </c>
      <c r="S27" s="3011">
        <v>3.6</v>
      </c>
      <c r="T27" s="3011">
        <v>3.87</v>
      </c>
      <c r="U27" s="3011">
        <v>1.98</v>
      </c>
      <c r="V27" s="3011">
        <v>2.25</v>
      </c>
      <c r="W27" s="3011">
        <v>2.52</v>
      </c>
      <c r="X27" s="3011">
        <v>1.17</v>
      </c>
      <c r="Y27" s="3011">
        <v>0.81</v>
      </c>
      <c r="Z27" s="3011">
        <v>1.35</v>
      </c>
    </row>
    <row r="28" spans="2:26">
      <c r="B28" s="3011"/>
      <c r="C28" s="3012">
        <v>39751</v>
      </c>
      <c r="D28" s="3011">
        <v>6.03</v>
      </c>
      <c r="E28" s="3011">
        <v>6.66</v>
      </c>
      <c r="F28" s="3011">
        <v>6.75</v>
      </c>
      <c r="G28" s="3011">
        <v>7.02</v>
      </c>
      <c r="H28" s="3011">
        <v>7.2</v>
      </c>
      <c r="I28" s="3011">
        <v>4.05</v>
      </c>
      <c r="J28" s="3011">
        <v>4.59</v>
      </c>
      <c r="L28" s="3011"/>
      <c r="M28" s="3012">
        <v>39751</v>
      </c>
      <c r="N28" s="3011">
        <v>0.72</v>
      </c>
      <c r="O28" s="3011">
        <v>2.88</v>
      </c>
      <c r="P28" s="3011">
        <v>3.24</v>
      </c>
      <c r="Q28" s="3011">
        <v>3.6</v>
      </c>
      <c r="R28" s="3011">
        <v>4.1399999999999997</v>
      </c>
      <c r="S28" s="3011">
        <v>4.7699999999999996</v>
      </c>
      <c r="T28" s="3011">
        <v>5.13</v>
      </c>
      <c r="U28" s="3011">
        <v>2.88</v>
      </c>
      <c r="V28" s="3011">
        <v>3.24</v>
      </c>
      <c r="W28" s="3011">
        <v>3.6</v>
      </c>
      <c r="X28" s="3011">
        <v>1.53</v>
      </c>
      <c r="Y28" s="3011">
        <v>1.17</v>
      </c>
      <c r="Z28" s="3011">
        <v>1.71</v>
      </c>
    </row>
    <row r="29" spans="2:26">
      <c r="B29" s="3011"/>
      <c r="C29" s="3014">
        <v>39748</v>
      </c>
      <c r="D29" s="3011">
        <v>6.12</v>
      </c>
      <c r="E29" s="3011">
        <v>6.93</v>
      </c>
      <c r="F29" s="3011">
        <v>7.02</v>
      </c>
      <c r="G29" s="3011">
        <v>7.29</v>
      </c>
      <c r="H29" s="3011">
        <v>7.47</v>
      </c>
      <c r="I29" s="3011">
        <v>4.05</v>
      </c>
      <c r="J29" s="3011">
        <v>4.59</v>
      </c>
      <c r="L29" s="3011"/>
      <c r="M29" s="3014">
        <v>39736</v>
      </c>
      <c r="N29" s="3011">
        <v>0.72</v>
      </c>
      <c r="O29" s="3011">
        <v>3.15</v>
      </c>
      <c r="P29" s="3011">
        <v>3.51</v>
      </c>
      <c r="Q29" s="3011">
        <v>3.87</v>
      </c>
      <c r="R29" s="3011">
        <v>4.41</v>
      </c>
      <c r="S29" s="3011">
        <v>5.13</v>
      </c>
      <c r="T29" s="3011">
        <v>5.58</v>
      </c>
      <c r="U29" s="3011">
        <v>3.15</v>
      </c>
      <c r="V29" s="3011">
        <v>3.51</v>
      </c>
      <c r="W29" s="3011">
        <v>3.87</v>
      </c>
      <c r="X29" s="3011">
        <v>1.53</v>
      </c>
      <c r="Y29" s="3011">
        <v>1.17</v>
      </c>
      <c r="Z29" s="3011">
        <v>1.71</v>
      </c>
    </row>
    <row r="30" spans="2:26">
      <c r="B30" s="3011"/>
      <c r="C30" s="3012">
        <v>39730</v>
      </c>
      <c r="D30" s="3011">
        <v>6.12</v>
      </c>
      <c r="E30" s="3011">
        <v>6.93</v>
      </c>
      <c r="F30" s="3011">
        <v>7.02</v>
      </c>
      <c r="G30" s="3011">
        <v>7.29</v>
      </c>
      <c r="H30" s="3011">
        <v>7.47</v>
      </c>
      <c r="I30" s="3011">
        <v>4.32</v>
      </c>
      <c r="J30" s="3011">
        <v>4.8600000000000003</v>
      </c>
      <c r="L30" s="3011"/>
      <c r="M30" s="3012">
        <v>39730</v>
      </c>
      <c r="N30" s="3011">
        <v>0.72</v>
      </c>
      <c r="O30" s="3011">
        <v>3.15</v>
      </c>
      <c r="P30" s="3011">
        <v>3.51</v>
      </c>
      <c r="Q30" s="3011">
        <v>3.87</v>
      </c>
      <c r="R30" s="3011">
        <v>4.41</v>
      </c>
      <c r="S30" s="3011">
        <v>5.13</v>
      </c>
      <c r="T30" s="3011">
        <v>5.58</v>
      </c>
      <c r="U30" s="3011">
        <v>3.15</v>
      </c>
      <c r="V30" s="3011">
        <v>3.51</v>
      </c>
      <c r="W30" s="3011">
        <v>3.87</v>
      </c>
      <c r="X30" s="3011">
        <v>1.53</v>
      </c>
      <c r="Y30" s="3011">
        <v>1.17</v>
      </c>
      <c r="Z30" s="3011">
        <v>1.71</v>
      </c>
    </row>
    <row r="31" spans="2:26">
      <c r="B31" s="3011"/>
      <c r="C31" s="3012">
        <v>39707</v>
      </c>
      <c r="D31" s="3011">
        <v>6.21</v>
      </c>
      <c r="E31" s="3011">
        <v>7.2</v>
      </c>
      <c r="F31" s="3011">
        <v>7.29</v>
      </c>
      <c r="G31" s="3011">
        <v>7.56</v>
      </c>
      <c r="H31" s="3011">
        <v>7.74</v>
      </c>
      <c r="I31" s="3011">
        <v>4.59</v>
      </c>
      <c r="J31" s="3011">
        <v>5.13</v>
      </c>
      <c r="L31" s="3011"/>
      <c r="M31" s="3012">
        <v>39437</v>
      </c>
      <c r="N31" s="3011">
        <v>0.72</v>
      </c>
      <c r="O31" s="3011">
        <v>3.33</v>
      </c>
      <c r="P31" s="3011">
        <v>3.78</v>
      </c>
      <c r="Q31" s="3011">
        <v>4.1399999999999997</v>
      </c>
      <c r="R31" s="3011">
        <v>4.68</v>
      </c>
      <c r="S31" s="3011">
        <v>5.4</v>
      </c>
      <c r="T31" s="3011">
        <v>5.85</v>
      </c>
      <c r="U31" s="3011">
        <v>3.33</v>
      </c>
      <c r="V31" s="3011">
        <v>3.78</v>
      </c>
      <c r="W31" s="3011">
        <v>4.1399999999999997</v>
      </c>
      <c r="X31" s="3011">
        <v>1.53</v>
      </c>
      <c r="Y31" s="3011">
        <v>1.17</v>
      </c>
      <c r="Z31" s="3011">
        <v>1.71</v>
      </c>
    </row>
    <row r="32" spans="2:26">
      <c r="B32" s="3011"/>
      <c r="C32" s="3012">
        <v>39437</v>
      </c>
      <c r="D32" s="3011">
        <v>6.57</v>
      </c>
      <c r="E32" s="3011">
        <v>7.47</v>
      </c>
      <c r="F32" s="3011">
        <v>7.56</v>
      </c>
      <c r="G32" s="3011">
        <v>7.74</v>
      </c>
      <c r="H32" s="3011">
        <v>7.83</v>
      </c>
      <c r="I32" s="3011">
        <v>4.7699999999999996</v>
      </c>
      <c r="J32" s="3011">
        <v>5.22</v>
      </c>
      <c r="L32" s="3011"/>
      <c r="M32" s="3012">
        <v>39340</v>
      </c>
      <c r="N32" s="3011">
        <v>0.81</v>
      </c>
      <c r="O32" s="3011">
        <v>2.88</v>
      </c>
      <c r="P32" s="3011">
        <v>3.42</v>
      </c>
      <c r="Q32" s="3011">
        <v>3.87</v>
      </c>
      <c r="R32" s="3011">
        <v>4.5</v>
      </c>
      <c r="S32" s="3011">
        <v>5.22</v>
      </c>
      <c r="T32" s="3011">
        <v>5.76</v>
      </c>
      <c r="U32" s="3011">
        <v>2.88</v>
      </c>
      <c r="V32" s="3011">
        <v>3.42</v>
      </c>
      <c r="W32" s="3011">
        <v>3.87</v>
      </c>
      <c r="X32" s="3011">
        <v>1.53</v>
      </c>
      <c r="Y32" s="3011">
        <v>1.17</v>
      </c>
      <c r="Z32" s="3011">
        <v>1.71</v>
      </c>
    </row>
    <row r="33" spans="2:26">
      <c r="B33" s="3011"/>
      <c r="C33" s="3012">
        <v>39340</v>
      </c>
      <c r="D33" s="3011">
        <v>6.48</v>
      </c>
      <c r="E33" s="3011">
        <v>7.29</v>
      </c>
      <c r="F33" s="3011">
        <v>7.47</v>
      </c>
      <c r="G33" s="3011">
        <v>7.65</v>
      </c>
      <c r="H33" s="3011">
        <v>7.83</v>
      </c>
      <c r="I33" s="3011">
        <v>4.7699999999999996</v>
      </c>
      <c r="J33" s="3011">
        <v>5.22</v>
      </c>
      <c r="L33" s="3011"/>
      <c r="M33" s="3012">
        <v>39316</v>
      </c>
      <c r="N33" s="3011">
        <v>0.81</v>
      </c>
      <c r="O33" s="3011">
        <v>2.61</v>
      </c>
      <c r="P33" s="3011">
        <v>3.15</v>
      </c>
      <c r="Q33" s="3011">
        <v>3.6</v>
      </c>
      <c r="R33" s="3011">
        <v>4.2300000000000004</v>
      </c>
      <c r="S33" s="3011">
        <v>4.95</v>
      </c>
      <c r="T33" s="3011">
        <v>5.49</v>
      </c>
      <c r="U33" s="3011">
        <v>2.61</v>
      </c>
      <c r="V33" s="3011">
        <v>3.15</v>
      </c>
      <c r="W33" s="3011">
        <v>3.6</v>
      </c>
      <c r="X33" s="3011">
        <v>1.53</v>
      </c>
      <c r="Y33" s="3011">
        <v>1.17</v>
      </c>
      <c r="Z33" s="3011">
        <v>1.71</v>
      </c>
    </row>
    <row r="34" spans="2:26">
      <c r="B34" s="3011"/>
      <c r="C34" s="3012">
        <v>39316</v>
      </c>
      <c r="D34" s="3011">
        <v>6.21</v>
      </c>
      <c r="E34" s="3011">
        <v>7.02</v>
      </c>
      <c r="F34" s="3011">
        <v>7.2</v>
      </c>
      <c r="G34" s="3011">
        <v>7.38</v>
      </c>
      <c r="H34" s="3011">
        <v>7.56</v>
      </c>
      <c r="I34" s="3011">
        <v>4.59</v>
      </c>
      <c r="J34" s="3011">
        <v>5.04</v>
      </c>
      <c r="L34" s="3011"/>
      <c r="M34" s="3012">
        <v>39284</v>
      </c>
      <c r="N34" s="3011">
        <v>0.81</v>
      </c>
      <c r="O34" s="3011">
        <v>2.34</v>
      </c>
      <c r="P34" s="3011">
        <v>2.88</v>
      </c>
      <c r="Q34" s="3011">
        <v>3.33</v>
      </c>
      <c r="R34" s="3011">
        <v>3.96</v>
      </c>
      <c r="S34" s="3011">
        <v>4.68</v>
      </c>
      <c r="T34" s="3011">
        <v>5.22</v>
      </c>
      <c r="U34" s="3011">
        <v>2.34</v>
      </c>
      <c r="V34" s="3011">
        <v>2.88</v>
      </c>
      <c r="W34" s="3011">
        <v>3.33</v>
      </c>
      <c r="X34" s="3011">
        <v>1.53</v>
      </c>
      <c r="Y34" s="3011">
        <v>1.17</v>
      </c>
      <c r="Z34" s="3011">
        <v>1.71</v>
      </c>
    </row>
    <row r="35" spans="2:26">
      <c r="B35" s="3011"/>
      <c r="C35" s="3012">
        <v>39284</v>
      </c>
      <c r="D35" s="3011">
        <v>6.03</v>
      </c>
      <c r="E35" s="3011">
        <v>6.84</v>
      </c>
      <c r="F35" s="3011">
        <v>7.02</v>
      </c>
      <c r="G35" s="3011">
        <v>7.2</v>
      </c>
      <c r="H35" s="3011">
        <v>7.38</v>
      </c>
      <c r="I35" s="3011">
        <v>4.5</v>
      </c>
      <c r="J35" s="3011">
        <v>4.95</v>
      </c>
      <c r="L35" s="3011"/>
      <c r="M35" s="3012">
        <v>39221</v>
      </c>
      <c r="N35" s="3011">
        <v>0.72</v>
      </c>
      <c r="O35" s="3011">
        <v>2.0699999999999998</v>
      </c>
      <c r="P35" s="3011">
        <v>2.61</v>
      </c>
      <c r="Q35" s="3011">
        <v>3.06</v>
      </c>
      <c r="R35" s="3011">
        <v>3.69</v>
      </c>
      <c r="S35" s="3011">
        <v>4.41</v>
      </c>
      <c r="T35" s="3011">
        <v>4.95</v>
      </c>
      <c r="U35" s="3011">
        <v>2.0699999999999998</v>
      </c>
      <c r="V35" s="3011">
        <v>2.61</v>
      </c>
      <c r="W35" s="3011">
        <v>3.06</v>
      </c>
      <c r="X35" s="3011">
        <v>1.44</v>
      </c>
      <c r="Y35" s="3011">
        <v>1.08</v>
      </c>
      <c r="Z35" s="3011">
        <v>1.62</v>
      </c>
    </row>
    <row r="36" spans="2:26">
      <c r="B36" s="3011"/>
      <c r="C36" s="3012">
        <v>39221</v>
      </c>
      <c r="D36" s="3011">
        <v>5.85</v>
      </c>
      <c r="E36" s="3011">
        <v>6.57</v>
      </c>
      <c r="F36" s="3011">
        <v>6.75</v>
      </c>
      <c r="G36" s="3011">
        <v>6.93</v>
      </c>
      <c r="H36" s="3011">
        <v>7.2</v>
      </c>
      <c r="I36" s="3011">
        <v>4.41</v>
      </c>
      <c r="J36" s="3011">
        <v>4.8600000000000003</v>
      </c>
      <c r="L36" s="3011"/>
      <c r="M36" s="3012">
        <v>39159</v>
      </c>
      <c r="N36" s="3011">
        <v>0.72</v>
      </c>
      <c r="O36" s="3011">
        <v>1.98</v>
      </c>
      <c r="P36" s="3011">
        <v>2.4300000000000002</v>
      </c>
      <c r="Q36" s="3011">
        <v>2.79</v>
      </c>
      <c r="R36" s="3011">
        <v>3.33</v>
      </c>
      <c r="S36" s="3011">
        <v>3.96</v>
      </c>
      <c r="T36" s="3011">
        <v>4.41</v>
      </c>
      <c r="U36" s="3011">
        <v>1.98</v>
      </c>
      <c r="V36" s="3011">
        <v>2.4300000000000002</v>
      </c>
      <c r="W36" s="3011">
        <v>2.79</v>
      </c>
      <c r="X36" s="3011">
        <v>1.44</v>
      </c>
      <c r="Y36" s="3011">
        <v>1.08</v>
      </c>
      <c r="Z36" s="3011">
        <v>1.62</v>
      </c>
    </row>
    <row r="37" spans="2:26">
      <c r="B37" s="3011"/>
      <c r="C37" s="3012">
        <v>39159</v>
      </c>
      <c r="D37" s="3011">
        <v>5.67</v>
      </c>
      <c r="E37" s="3011">
        <v>6.39</v>
      </c>
      <c r="F37" s="3011">
        <v>6.57</v>
      </c>
      <c r="G37" s="3011">
        <v>6.75</v>
      </c>
      <c r="H37" s="3011">
        <v>7.11</v>
      </c>
      <c r="I37" s="3011">
        <v>4.32</v>
      </c>
      <c r="J37" s="3011">
        <v>4.7699999999999996</v>
      </c>
      <c r="L37" s="3011"/>
      <c r="M37" s="3012">
        <v>38948</v>
      </c>
      <c r="N37" s="3011">
        <v>0.72</v>
      </c>
      <c r="O37" s="3011">
        <v>1.8</v>
      </c>
      <c r="P37" s="3011">
        <v>2.25</v>
      </c>
      <c r="Q37" s="3011">
        <v>2.52</v>
      </c>
      <c r="R37" s="3011">
        <v>3.06</v>
      </c>
      <c r="S37" s="3011">
        <v>3.69</v>
      </c>
      <c r="T37" s="3011">
        <v>4.1399999999999997</v>
      </c>
      <c r="U37" s="3011">
        <v>1.8</v>
      </c>
      <c r="V37" s="3011">
        <v>2.25</v>
      </c>
      <c r="W37" s="3011">
        <v>2.52</v>
      </c>
      <c r="X37" s="3011">
        <v>1.44</v>
      </c>
      <c r="Y37" s="3011">
        <v>1.08</v>
      </c>
      <c r="Z37" s="3011">
        <v>1.62</v>
      </c>
    </row>
    <row r="38" spans="2:26">
      <c r="B38" s="3011"/>
      <c r="C38" s="3012">
        <v>38948</v>
      </c>
      <c r="D38" s="3011">
        <v>5.58</v>
      </c>
      <c r="E38" s="3011">
        <v>6.12</v>
      </c>
      <c r="F38" s="3011">
        <v>6.3</v>
      </c>
      <c r="G38" s="3011">
        <v>6.48</v>
      </c>
      <c r="H38" s="3011">
        <v>6.84</v>
      </c>
      <c r="I38" s="3011">
        <v>4.1399999999999997</v>
      </c>
      <c r="J38" s="3011">
        <v>4.59</v>
      </c>
      <c r="L38" s="3011"/>
      <c r="M38" s="3012">
        <v>38289</v>
      </c>
      <c r="N38" s="3011">
        <v>0.72</v>
      </c>
      <c r="O38" s="3011">
        <v>1.71</v>
      </c>
      <c r="P38" s="3011">
        <v>2.0699999999999998</v>
      </c>
      <c r="Q38" s="3011">
        <v>2.25</v>
      </c>
      <c r="R38" s="3011">
        <v>2.7</v>
      </c>
      <c r="S38" s="3011">
        <v>3.24</v>
      </c>
      <c r="T38" s="3011">
        <v>3.6</v>
      </c>
      <c r="U38" s="3011">
        <v>1.71</v>
      </c>
      <c r="V38" s="3011">
        <v>2.0699999999999998</v>
      </c>
      <c r="W38" s="3011">
        <v>2.25</v>
      </c>
      <c r="X38" s="3011">
        <v>1.44</v>
      </c>
      <c r="Y38" s="3011">
        <v>1.08</v>
      </c>
      <c r="Z38" s="3011">
        <v>1.62</v>
      </c>
    </row>
    <row r="39" spans="2:26">
      <c r="B39" s="3011"/>
      <c r="C39" s="3012">
        <v>38835</v>
      </c>
      <c r="D39" s="3011">
        <v>5.4</v>
      </c>
      <c r="E39" s="3011">
        <v>5.85</v>
      </c>
      <c r="F39" s="3011">
        <v>6.03</v>
      </c>
      <c r="G39" s="3011">
        <v>6.12</v>
      </c>
      <c r="H39" s="3011">
        <v>6.39</v>
      </c>
      <c r="I39" s="3011">
        <v>4.1399999999999997</v>
      </c>
      <c r="J39" s="3011">
        <v>4.59</v>
      </c>
      <c r="L39" s="3011"/>
      <c r="M39" s="3012">
        <v>37308</v>
      </c>
      <c r="N39" s="3011">
        <v>0.72</v>
      </c>
      <c r="O39" s="3011">
        <v>1.71</v>
      </c>
      <c r="P39" s="3011">
        <v>1.89</v>
      </c>
      <c r="Q39" s="3011">
        <v>1.98</v>
      </c>
      <c r="R39" s="3011">
        <v>2.25</v>
      </c>
      <c r="S39" s="3011">
        <v>2.52</v>
      </c>
      <c r="T39" s="3011">
        <v>2.79</v>
      </c>
      <c r="U39" s="3011">
        <v>1.71</v>
      </c>
      <c r="V39" s="3011">
        <v>1.89</v>
      </c>
      <c r="W39" s="3011">
        <v>1.98</v>
      </c>
      <c r="X39" s="3011">
        <v>1.44</v>
      </c>
      <c r="Y39" s="3011">
        <v>1.08</v>
      </c>
      <c r="Z39" s="3011">
        <v>1.62</v>
      </c>
    </row>
    <row r="40" spans="2:26">
      <c r="B40" s="3011"/>
      <c r="C40" s="3012">
        <v>38428</v>
      </c>
      <c r="D40" s="3011">
        <v>5.22</v>
      </c>
      <c r="E40" s="3011">
        <v>5.58</v>
      </c>
      <c r="F40" s="3011">
        <v>5.76</v>
      </c>
      <c r="G40" s="3011">
        <v>5.85</v>
      </c>
      <c r="H40" s="3011">
        <v>6.12</v>
      </c>
      <c r="I40" s="3011">
        <v>3.96</v>
      </c>
      <c r="J40" s="3011">
        <v>4.41</v>
      </c>
      <c r="L40" s="3011"/>
      <c r="M40" s="3012">
        <v>36321</v>
      </c>
      <c r="N40" s="3011">
        <v>0.99</v>
      </c>
      <c r="O40" s="3011">
        <v>1.98</v>
      </c>
      <c r="P40" s="3011">
        <v>2.16</v>
      </c>
      <c r="Q40" s="3011">
        <v>2.25</v>
      </c>
      <c r="R40" s="3011">
        <v>2.4300000000000002</v>
      </c>
      <c r="S40" s="3011">
        <v>2.7</v>
      </c>
      <c r="T40" s="3011">
        <v>2.88</v>
      </c>
      <c r="U40" s="3011">
        <v>1.98</v>
      </c>
      <c r="V40" s="3011">
        <v>2.16</v>
      </c>
      <c r="W40" s="3011">
        <v>2.25</v>
      </c>
      <c r="X40" s="3011">
        <v>1.71</v>
      </c>
      <c r="Y40" s="3011">
        <v>1.35</v>
      </c>
      <c r="Z40" s="3011">
        <v>1.89</v>
      </c>
    </row>
    <row r="41" spans="2:26">
      <c r="B41" s="3011"/>
      <c r="C41" s="3012">
        <v>38289</v>
      </c>
      <c r="D41" s="3011">
        <v>5.22</v>
      </c>
      <c r="E41" s="3011">
        <v>5.58</v>
      </c>
      <c r="F41" s="3011">
        <v>5.76</v>
      </c>
      <c r="G41" s="3011">
        <v>5.85</v>
      </c>
      <c r="H41" s="3011">
        <v>6.12</v>
      </c>
      <c r="I41" s="3011">
        <v>3.78</v>
      </c>
      <c r="J41" s="3011">
        <v>4.2300000000000004</v>
      </c>
      <c r="L41" s="3011"/>
      <c r="M41" s="3012">
        <v>36136</v>
      </c>
      <c r="N41" s="3011">
        <v>1.44</v>
      </c>
      <c r="O41" s="3011">
        <v>2.79</v>
      </c>
      <c r="P41" s="3011">
        <v>3.33</v>
      </c>
      <c r="Q41" s="3011">
        <v>3.78</v>
      </c>
      <c r="R41" s="3011">
        <v>3.96</v>
      </c>
      <c r="S41" s="3011">
        <v>4.1399999999999997</v>
      </c>
      <c r="T41" s="3011">
        <v>4.5</v>
      </c>
      <c r="U41" s="3011">
        <v>3.33</v>
      </c>
      <c r="V41" s="3011">
        <v>3.78</v>
      </c>
      <c r="W41" s="3011">
        <v>4.1399999999999997</v>
      </c>
      <c r="X41" s="3011">
        <v>2.16</v>
      </c>
      <c r="Y41" s="3011">
        <v>1.8</v>
      </c>
      <c r="Z41" s="3011">
        <v>2.34</v>
      </c>
    </row>
    <row r="42" spans="2:26">
      <c r="B42" s="3011"/>
      <c r="C42" s="3012">
        <v>37308</v>
      </c>
      <c r="D42" s="3011">
        <v>5.04</v>
      </c>
      <c r="E42" s="3011">
        <v>5.31</v>
      </c>
      <c r="F42" s="3011">
        <v>5.49</v>
      </c>
      <c r="G42" s="3011">
        <v>5.58</v>
      </c>
      <c r="H42" s="3011">
        <v>5.76</v>
      </c>
      <c r="I42" s="3011">
        <v>3.6</v>
      </c>
      <c r="J42" s="3011">
        <v>4.05</v>
      </c>
      <c r="L42" s="3011"/>
      <c r="M42" s="3012">
        <v>35977</v>
      </c>
      <c r="N42" s="3011">
        <v>1.44</v>
      </c>
      <c r="O42" s="3011">
        <v>2.79</v>
      </c>
      <c r="P42" s="3011">
        <v>3.96</v>
      </c>
      <c r="Q42" s="3011">
        <v>4.7699999999999996</v>
      </c>
      <c r="R42" s="3011">
        <v>4.8600000000000003</v>
      </c>
      <c r="S42" s="3011">
        <v>4.95</v>
      </c>
      <c r="T42" s="3011">
        <v>5.22</v>
      </c>
      <c r="U42" s="3011">
        <v>3.96</v>
      </c>
      <c r="V42" s="3011">
        <v>4.7699999999999996</v>
      </c>
      <c r="W42" s="3011">
        <v>4.95</v>
      </c>
      <c r="X42" s="3011" t="s">
        <v>2817</v>
      </c>
      <c r="Y42" s="3011" t="s">
        <v>2817</v>
      </c>
      <c r="Z42" s="3011" t="s">
        <v>2817</v>
      </c>
    </row>
    <row r="43" spans="2:26">
      <c r="B43" s="3011"/>
      <c r="C43" s="3012">
        <v>36321</v>
      </c>
      <c r="D43" s="3011">
        <v>5.58</v>
      </c>
      <c r="E43" s="3011">
        <v>5.85</v>
      </c>
      <c r="F43" s="3011">
        <v>5.94</v>
      </c>
      <c r="G43" s="3011">
        <v>6.03</v>
      </c>
      <c r="H43" s="3011">
        <v>6.21</v>
      </c>
      <c r="I43" s="3011">
        <v>4.1399999999999997</v>
      </c>
      <c r="J43" s="3011">
        <v>4.59</v>
      </c>
      <c r="L43" s="3011"/>
      <c r="M43" s="3012">
        <v>35879</v>
      </c>
      <c r="N43" s="3011">
        <v>1.71</v>
      </c>
      <c r="O43" s="3011">
        <v>2.88</v>
      </c>
      <c r="P43" s="3011">
        <v>4.1399999999999997</v>
      </c>
      <c r="Q43" s="3011">
        <v>5.22</v>
      </c>
      <c r="R43" s="3011">
        <v>5.58</v>
      </c>
      <c r="S43" s="3011">
        <v>6.21</v>
      </c>
      <c r="T43" s="3011">
        <v>6.66</v>
      </c>
      <c r="U43" s="3011">
        <v>4.1399999999999997</v>
      </c>
      <c r="V43" s="3011">
        <v>5.22</v>
      </c>
      <c r="W43" s="3011">
        <v>6.21</v>
      </c>
      <c r="X43" s="3011" t="s">
        <v>2817</v>
      </c>
      <c r="Y43" s="3011" t="s">
        <v>2817</v>
      </c>
      <c r="Z43" s="3011" t="s">
        <v>2817</v>
      </c>
    </row>
    <row r="44" spans="2:26">
      <c r="B44" s="3011"/>
      <c r="C44" s="3012">
        <v>36136</v>
      </c>
      <c r="D44" s="3011">
        <v>6.12</v>
      </c>
      <c r="E44" s="3011">
        <v>6.39</v>
      </c>
      <c r="F44" s="3011">
        <v>6.66</v>
      </c>
      <c r="G44" s="3011">
        <v>7.2</v>
      </c>
      <c r="H44" s="3011">
        <v>7.56</v>
      </c>
      <c r="I44" s="3011">
        <v>0</v>
      </c>
      <c r="J44" s="3011">
        <v>0</v>
      </c>
      <c r="L44" s="3011"/>
      <c r="M44" s="3012">
        <v>35726</v>
      </c>
      <c r="N44" s="3011">
        <v>1.71</v>
      </c>
      <c r="O44" s="3011">
        <v>2.88</v>
      </c>
      <c r="P44" s="3011">
        <v>4.1399999999999997</v>
      </c>
      <c r="Q44" s="3011">
        <v>5.67</v>
      </c>
      <c r="R44" s="3011">
        <v>5.94</v>
      </c>
      <c r="S44" s="3011">
        <v>6.21</v>
      </c>
      <c r="T44" s="3011">
        <v>6.66</v>
      </c>
      <c r="U44" s="3011">
        <v>4.1399999999999997</v>
      </c>
      <c r="V44" s="3011">
        <v>5.67</v>
      </c>
      <c r="W44" s="3011">
        <v>6.21</v>
      </c>
      <c r="X44" s="3011" t="s">
        <v>2817</v>
      </c>
      <c r="Y44" s="3011" t="s">
        <v>2817</v>
      </c>
      <c r="Z44" s="3011" t="s">
        <v>2817</v>
      </c>
    </row>
    <row r="45" spans="2:26">
      <c r="B45" s="3011"/>
      <c r="C45" s="3012">
        <v>35977</v>
      </c>
      <c r="D45" s="3011">
        <v>6.57</v>
      </c>
      <c r="E45" s="3011">
        <v>6.93</v>
      </c>
      <c r="F45" s="3011">
        <v>7.11</v>
      </c>
      <c r="G45" s="3011">
        <v>7.65</v>
      </c>
      <c r="H45" s="3011">
        <v>8.01</v>
      </c>
      <c r="I45" s="3011">
        <v>0</v>
      </c>
      <c r="J45" s="3011">
        <v>0</v>
      </c>
      <c r="L45" s="3011"/>
      <c r="M45" s="3012">
        <v>35300</v>
      </c>
      <c r="N45" s="3011">
        <v>1.98</v>
      </c>
      <c r="O45" s="3011">
        <v>3.33</v>
      </c>
      <c r="P45" s="3011">
        <v>5.4</v>
      </c>
      <c r="Q45" s="3011">
        <v>7.47</v>
      </c>
      <c r="R45" s="3011">
        <v>7.92</v>
      </c>
      <c r="S45" s="3011">
        <v>8.2799999999999994</v>
      </c>
      <c r="T45" s="3011">
        <v>9</v>
      </c>
      <c r="U45" s="3011">
        <v>5.4</v>
      </c>
      <c r="V45" s="3011">
        <v>7.47</v>
      </c>
      <c r="W45" s="3011">
        <v>8.2799999999999994</v>
      </c>
      <c r="X45" s="3011" t="s">
        <v>2817</v>
      </c>
      <c r="Y45" s="3011" t="s">
        <v>2817</v>
      </c>
      <c r="Z45" s="3011" t="s">
        <v>2817</v>
      </c>
    </row>
    <row r="46" spans="2:26">
      <c r="B46" s="3011"/>
      <c r="C46" s="3012">
        <v>35879</v>
      </c>
      <c r="D46" s="3011">
        <v>7.02</v>
      </c>
      <c r="E46" s="3011">
        <v>7.92</v>
      </c>
      <c r="F46" s="3011">
        <v>9</v>
      </c>
      <c r="G46" s="3011">
        <v>9.7200000000000006</v>
      </c>
      <c r="H46" s="3011">
        <v>10.35</v>
      </c>
      <c r="I46" s="3011">
        <v>0</v>
      </c>
      <c r="J46" s="3011">
        <v>0</v>
      </c>
      <c r="L46" s="3011"/>
      <c r="M46" s="3012">
        <v>35186</v>
      </c>
      <c r="N46" s="3011">
        <v>2.97</v>
      </c>
      <c r="O46" s="3011">
        <v>4.8600000000000003</v>
      </c>
      <c r="P46" s="3011">
        <v>7.2</v>
      </c>
      <c r="Q46" s="3011">
        <v>9.18</v>
      </c>
      <c r="R46" s="3011">
        <v>9.9</v>
      </c>
      <c r="S46" s="3011">
        <v>10.8</v>
      </c>
      <c r="T46" s="3011">
        <v>12.06</v>
      </c>
      <c r="U46" s="3011">
        <v>7.2</v>
      </c>
      <c r="V46" s="3011">
        <v>9.18</v>
      </c>
      <c r="W46" s="3011">
        <v>10.8</v>
      </c>
      <c r="X46" s="3011" t="s">
        <v>2817</v>
      </c>
      <c r="Y46" s="3011" t="s">
        <v>2817</v>
      </c>
      <c r="Z46" s="3011" t="s">
        <v>2817</v>
      </c>
    </row>
    <row r="47" spans="2:26">
      <c r="B47" s="3011"/>
      <c r="C47" s="3012">
        <v>35726</v>
      </c>
      <c r="D47" s="3011">
        <v>7.65</v>
      </c>
      <c r="E47" s="3011">
        <v>8.64</v>
      </c>
      <c r="F47" s="3011">
        <v>9.36</v>
      </c>
      <c r="G47" s="3011">
        <v>9.9</v>
      </c>
      <c r="H47" s="3011">
        <v>10.53</v>
      </c>
      <c r="I47" s="3011">
        <v>0</v>
      </c>
      <c r="J47" s="3011">
        <v>0</v>
      </c>
      <c r="L47" s="3011"/>
      <c r="M47" s="3012">
        <v>34161</v>
      </c>
      <c r="N47" s="3011">
        <v>3.15</v>
      </c>
      <c r="O47" s="3011">
        <v>6.66</v>
      </c>
      <c r="P47" s="3011">
        <v>9</v>
      </c>
      <c r="Q47" s="3011">
        <v>10.98</v>
      </c>
      <c r="R47" s="3011">
        <v>11.7</v>
      </c>
      <c r="S47" s="3011">
        <v>12.24</v>
      </c>
      <c r="T47" s="3011">
        <v>13.86</v>
      </c>
      <c r="U47" s="3011">
        <v>9</v>
      </c>
      <c r="V47" s="3011">
        <v>10.98</v>
      </c>
      <c r="W47" s="3011">
        <v>12.24</v>
      </c>
      <c r="X47" s="3011" t="s">
        <v>2817</v>
      </c>
      <c r="Y47" s="3011" t="s">
        <v>2817</v>
      </c>
      <c r="Z47" s="3011" t="s">
        <v>2817</v>
      </c>
    </row>
    <row r="48" spans="2:26">
      <c r="B48" s="3011"/>
      <c r="C48" s="3012">
        <v>35300</v>
      </c>
      <c r="D48" s="3011">
        <v>9.18</v>
      </c>
      <c r="E48" s="3011">
        <v>10.08</v>
      </c>
      <c r="F48" s="3011">
        <v>10.98</v>
      </c>
      <c r="G48" s="3011">
        <v>11.7</v>
      </c>
      <c r="H48" s="3011">
        <v>12.42</v>
      </c>
      <c r="I48" s="3011">
        <v>0</v>
      </c>
      <c r="J48" s="3011">
        <v>0</v>
      </c>
      <c r="L48" s="3011"/>
      <c r="M48" s="3012">
        <v>34104</v>
      </c>
      <c r="N48" s="3011">
        <v>2.16</v>
      </c>
      <c r="O48" s="3011">
        <v>4.8600000000000003</v>
      </c>
      <c r="P48" s="3011">
        <v>7.2</v>
      </c>
      <c r="Q48" s="3011">
        <v>9.18</v>
      </c>
      <c r="R48" s="3011">
        <v>9.9</v>
      </c>
      <c r="S48" s="3011">
        <v>10.8</v>
      </c>
      <c r="T48" s="3011">
        <v>12.06</v>
      </c>
      <c r="U48" s="3011">
        <v>7.2</v>
      </c>
      <c r="V48" s="3011">
        <v>9.18</v>
      </c>
      <c r="W48" s="3011">
        <v>10.8</v>
      </c>
      <c r="X48" s="3011" t="s">
        <v>2817</v>
      </c>
      <c r="Y48" s="3011" t="s">
        <v>2817</v>
      </c>
      <c r="Z48" s="3011" t="s">
        <v>2817</v>
      </c>
    </row>
    <row r="49" spans="2:26">
      <c r="B49" s="3011"/>
      <c r="C49" s="3012">
        <v>35186</v>
      </c>
      <c r="D49" s="3011">
        <v>9.7200000000000006</v>
      </c>
      <c r="E49" s="3011">
        <v>10.98</v>
      </c>
      <c r="F49" s="3011">
        <v>13.14</v>
      </c>
      <c r="G49" s="3011">
        <v>14.94</v>
      </c>
      <c r="H49" s="3011">
        <v>15.12</v>
      </c>
      <c r="I49" s="3011">
        <v>0</v>
      </c>
      <c r="J49" s="3011">
        <v>0</v>
      </c>
      <c r="L49" s="3011"/>
      <c r="M49" s="3012">
        <v>33349</v>
      </c>
      <c r="N49" s="3011">
        <v>1.8</v>
      </c>
      <c r="O49" s="3011">
        <v>3.24</v>
      </c>
      <c r="P49" s="3011">
        <v>5.4</v>
      </c>
      <c r="Q49" s="3011">
        <v>7.56</v>
      </c>
      <c r="R49" s="3011">
        <v>7.92</v>
      </c>
      <c r="S49" s="3011">
        <v>8.2799999999999994</v>
      </c>
      <c r="T49" s="3011">
        <v>9</v>
      </c>
      <c r="U49" s="3011">
        <v>6.12</v>
      </c>
      <c r="V49" s="3011">
        <v>6.84</v>
      </c>
      <c r="W49" s="3011">
        <v>7.56</v>
      </c>
      <c r="X49" s="3011" t="s">
        <v>2817</v>
      </c>
      <c r="Y49" s="3011" t="s">
        <v>2817</v>
      </c>
      <c r="Z49" s="3011" t="s">
        <v>2817</v>
      </c>
    </row>
    <row r="50" spans="2:26">
      <c r="B50" s="3011"/>
      <c r="C50" s="3012">
        <v>34881</v>
      </c>
      <c r="D50" s="3011">
        <v>10.08</v>
      </c>
      <c r="E50" s="3011">
        <v>12.06</v>
      </c>
      <c r="F50" s="3011">
        <v>13.5</v>
      </c>
      <c r="G50" s="3011">
        <v>15.12</v>
      </c>
      <c r="H50" s="3011">
        <v>15.3</v>
      </c>
      <c r="I50" s="3011">
        <v>0</v>
      </c>
      <c r="J50" s="3011">
        <v>0</v>
      </c>
      <c r="L50" s="3011"/>
      <c r="M50" s="3012">
        <v>33106</v>
      </c>
      <c r="N50" s="3011">
        <v>2.16</v>
      </c>
      <c r="O50" s="3011">
        <v>4.32</v>
      </c>
      <c r="P50" s="3011">
        <v>6.48</v>
      </c>
      <c r="Q50" s="3011">
        <v>8.64</v>
      </c>
      <c r="R50" s="3011">
        <v>9.36</v>
      </c>
      <c r="S50" s="3011">
        <v>10.08</v>
      </c>
      <c r="T50" s="3011">
        <v>11.52</v>
      </c>
      <c r="U50" s="3011">
        <v>7.2</v>
      </c>
      <c r="V50" s="3011">
        <v>8.64</v>
      </c>
      <c r="W50" s="3011">
        <v>10.08</v>
      </c>
      <c r="X50" s="3011" t="s">
        <v>2817</v>
      </c>
      <c r="Y50" s="3011" t="s">
        <v>2817</v>
      </c>
      <c r="Z50" s="3011" t="s">
        <v>2817</v>
      </c>
    </row>
    <row r="51" spans="2:26">
      <c r="B51" s="3011"/>
      <c r="C51" s="3012">
        <v>34700</v>
      </c>
      <c r="D51" s="3011">
        <v>9</v>
      </c>
      <c r="E51" s="3011">
        <v>10.98</v>
      </c>
      <c r="F51" s="3011">
        <v>12.96</v>
      </c>
      <c r="G51" s="3011">
        <v>14.58</v>
      </c>
      <c r="H51" s="3011">
        <v>14.76</v>
      </c>
      <c r="I51" s="3011">
        <v>0</v>
      </c>
      <c r="J51" s="3011">
        <v>0</v>
      </c>
      <c r="L51" s="3011"/>
      <c r="M51" s="3012">
        <v>32978</v>
      </c>
      <c r="N51" s="3011">
        <v>2.88</v>
      </c>
      <c r="O51" s="3011">
        <v>6.3</v>
      </c>
      <c r="P51" s="3011">
        <v>7.74</v>
      </c>
      <c r="Q51" s="3011">
        <v>10.08</v>
      </c>
      <c r="R51" s="3011">
        <v>10.98</v>
      </c>
      <c r="S51" s="3011">
        <v>11.88</v>
      </c>
      <c r="T51" s="3011">
        <v>13.68</v>
      </c>
      <c r="U51" s="3011" t="s">
        <v>2817</v>
      </c>
      <c r="V51" s="3011" t="s">
        <v>2817</v>
      </c>
      <c r="W51" s="3011" t="s">
        <v>2817</v>
      </c>
      <c r="X51" s="3011" t="s">
        <v>2817</v>
      </c>
      <c r="Y51" s="3011" t="s">
        <v>2817</v>
      </c>
      <c r="Z51" s="3011" t="s">
        <v>2817</v>
      </c>
    </row>
    <row r="52" spans="2:26">
      <c r="B52" s="3011"/>
      <c r="C52" s="3012">
        <v>34161</v>
      </c>
      <c r="D52" s="3011">
        <v>9</v>
      </c>
      <c r="E52" s="3011">
        <v>10.98</v>
      </c>
      <c r="F52" s="3011">
        <v>12.24</v>
      </c>
      <c r="G52" s="3011">
        <v>13.86</v>
      </c>
      <c r="H52" s="3011">
        <v>14.04</v>
      </c>
      <c r="I52" s="3011">
        <v>0</v>
      </c>
      <c r="J52" s="3011">
        <v>0</v>
      </c>
      <c r="L52" s="3011"/>
      <c r="M52" s="3012"/>
      <c r="N52" s="3011"/>
      <c r="O52" s="3011"/>
      <c r="P52" s="3011"/>
      <c r="Q52" s="3011"/>
      <c r="R52" s="3011"/>
      <c r="S52" s="3011"/>
      <c r="T52" s="3011"/>
      <c r="U52" s="3011"/>
      <c r="V52" s="3011"/>
      <c r="W52" s="3011"/>
      <c r="X52" s="3011"/>
      <c r="Y52" s="3011"/>
      <c r="Z52" s="3011"/>
    </row>
    <row r="53" spans="2:26">
      <c r="B53" s="3011"/>
      <c r="C53" s="3012">
        <v>34104</v>
      </c>
      <c r="D53" s="3011">
        <v>8.82</v>
      </c>
      <c r="E53" s="3011">
        <v>9.36</v>
      </c>
      <c r="F53" s="3011">
        <v>10.8</v>
      </c>
      <c r="G53" s="3011">
        <v>12.06</v>
      </c>
      <c r="H53" s="3011">
        <v>12.24</v>
      </c>
      <c r="I53" s="3011">
        <v>0</v>
      </c>
      <c r="J53" s="3011">
        <v>0</v>
      </c>
      <c r="L53" s="3011"/>
      <c r="M53" s="3012"/>
      <c r="N53" s="3011"/>
      <c r="O53" s="3011"/>
      <c r="P53" s="3011"/>
      <c r="Q53" s="3011"/>
      <c r="R53" s="3011"/>
      <c r="S53" s="3011"/>
      <c r="T53" s="3011"/>
      <c r="U53" s="3011"/>
      <c r="V53" s="3011"/>
      <c r="W53" s="3011"/>
      <c r="X53" s="3011"/>
      <c r="Y53" s="3011"/>
      <c r="Z53" s="3011"/>
    </row>
    <row r="54" spans="2:26">
      <c r="B54" s="3011"/>
      <c r="C54" s="3012">
        <v>33349</v>
      </c>
      <c r="D54" s="3011">
        <v>8.1</v>
      </c>
      <c r="E54" s="3011">
        <v>8.64</v>
      </c>
      <c r="F54" s="3011">
        <v>9</v>
      </c>
      <c r="G54" s="3011">
        <v>9.5399999999999991</v>
      </c>
      <c r="H54" s="3011">
        <v>9.7200000000000006</v>
      </c>
      <c r="I54" s="3011">
        <v>0</v>
      </c>
      <c r="J54" s="3011">
        <v>0</v>
      </c>
      <c r="L54" s="3011"/>
      <c r="M54" s="3012"/>
      <c r="N54" s="3011"/>
      <c r="O54" s="3011"/>
      <c r="P54" s="3011"/>
      <c r="Q54" s="3011"/>
      <c r="R54" s="3011"/>
      <c r="S54" s="3011"/>
      <c r="T54" s="3011"/>
      <c r="U54" s="3011"/>
      <c r="V54" s="3011"/>
      <c r="W54" s="3011"/>
      <c r="X54" s="3011"/>
      <c r="Y54" s="3011"/>
      <c r="Z54" s="3011"/>
    </row>
    <row r="55" spans="2:26">
      <c r="B55" s="3011"/>
      <c r="C55" s="3012">
        <v>33318</v>
      </c>
      <c r="D55" s="3011">
        <v>9</v>
      </c>
      <c r="E55" s="3011">
        <v>10.08</v>
      </c>
      <c r="F55" s="3011">
        <v>10.8</v>
      </c>
      <c r="G55" s="3011">
        <v>11.52</v>
      </c>
      <c r="H55" s="3011">
        <v>11.88</v>
      </c>
      <c r="I55" s="3011" t="s">
        <v>2817</v>
      </c>
      <c r="J55" s="3011" t="s">
        <v>2817</v>
      </c>
      <c r="L55" s="3011"/>
      <c r="M55" s="3012"/>
      <c r="N55" s="3011"/>
      <c r="O55" s="3011"/>
      <c r="P55" s="3011"/>
      <c r="Q55" s="3011"/>
      <c r="R55" s="3011"/>
      <c r="S55" s="3011"/>
      <c r="T55" s="3011"/>
      <c r="U55" s="3011"/>
      <c r="V55" s="3011"/>
      <c r="W55" s="3011"/>
      <c r="X55" s="3011"/>
      <c r="Y55" s="3011"/>
      <c r="Z55" s="3011"/>
    </row>
    <row r="56" spans="2:26">
      <c r="B56" s="3011"/>
      <c r="C56" s="3012">
        <v>33106</v>
      </c>
      <c r="D56" s="3011">
        <v>8.64</v>
      </c>
      <c r="E56" s="3011">
        <v>9.36</v>
      </c>
      <c r="F56" s="3011">
        <v>10.08</v>
      </c>
      <c r="G56" s="3011">
        <v>10.8</v>
      </c>
      <c r="H56" s="3011">
        <v>11.16</v>
      </c>
      <c r="I56" s="3011">
        <v>0</v>
      </c>
      <c r="J56" s="3011">
        <v>0</v>
      </c>
      <c r="L56" s="3011"/>
      <c r="M56" s="3012"/>
      <c r="N56" s="3011"/>
      <c r="O56" s="3011"/>
      <c r="P56" s="3011"/>
      <c r="Q56" s="3011"/>
      <c r="R56" s="3011"/>
      <c r="S56" s="3011"/>
      <c r="T56" s="3011"/>
      <c r="U56" s="3011"/>
      <c r="V56" s="3011"/>
      <c r="W56" s="3011"/>
      <c r="X56" s="3011"/>
      <c r="Y56" s="3011"/>
      <c r="Z56" s="3011"/>
    </row>
    <row r="57" spans="2:26">
      <c r="B57" s="3011"/>
      <c r="C57" s="3012">
        <v>32540</v>
      </c>
      <c r="D57" s="3011">
        <v>11.34</v>
      </c>
      <c r="E57" s="3011">
        <v>11.34</v>
      </c>
      <c r="F57" s="3011">
        <v>12.78</v>
      </c>
      <c r="G57" s="3011">
        <v>14.4</v>
      </c>
      <c r="H57" s="3011">
        <v>19.260000000000002</v>
      </c>
      <c r="I57" s="3011">
        <v>0</v>
      </c>
      <c r="J57" s="3011">
        <v>0</v>
      </c>
      <c r="L57" s="3011"/>
      <c r="M57" s="3012"/>
      <c r="N57" s="3011"/>
      <c r="O57" s="3011"/>
      <c r="P57" s="3011"/>
      <c r="Q57" s="3011"/>
      <c r="R57" s="3011"/>
      <c r="S57" s="3011"/>
      <c r="T57" s="3011"/>
      <c r="U57" s="3011"/>
      <c r="V57" s="3011"/>
      <c r="W57" s="3011"/>
      <c r="X57" s="3011"/>
      <c r="Y57" s="3011"/>
      <c r="Z57" s="3011"/>
    </row>
    <row r="58" spans="2:26">
      <c r="B58" s="3011"/>
      <c r="C58" s="3012"/>
      <c r="D58" s="3011"/>
      <c r="E58" s="3011"/>
      <c r="F58" s="3011"/>
      <c r="G58" s="3011"/>
      <c r="H58" s="3011"/>
      <c r="I58" s="3011"/>
      <c r="J58" s="3011"/>
    </row>
    <row r="59" spans="2:26">
      <c r="B59" s="3015"/>
      <c r="C59" s="3016"/>
      <c r="D59" s="3015"/>
      <c r="E59" s="3015"/>
      <c r="F59" s="3015"/>
      <c r="G59" s="3015"/>
      <c r="H59" s="3015"/>
      <c r="I59" s="3015"/>
      <c r="J59" s="3015"/>
    </row>
    <row r="60" spans="2:26">
      <c r="B60" s="3015"/>
      <c r="C60" s="3016"/>
      <c r="D60" s="3015"/>
      <c r="E60" s="3015"/>
      <c r="F60" s="3015"/>
      <c r="G60" s="3015"/>
      <c r="H60" s="3015"/>
      <c r="I60" s="3015"/>
      <c r="J60" s="3015"/>
    </row>
    <row r="61" spans="2:26">
      <c r="B61" s="3015"/>
      <c r="C61" s="3016"/>
      <c r="D61" s="3015"/>
      <c r="E61" s="3015"/>
      <c r="F61" s="3015"/>
      <c r="G61" s="3015"/>
      <c r="H61" s="3015"/>
      <c r="I61" s="3015"/>
      <c r="J61" s="3015"/>
    </row>
    <row r="62" spans="2:26">
      <c r="B62" s="2962"/>
      <c r="C62" s="2962"/>
      <c r="D62" s="2962"/>
      <c r="E62" s="2962"/>
      <c r="F62" s="2962"/>
      <c r="G62" s="2962"/>
      <c r="H62" s="2962"/>
      <c r="I62" s="2962"/>
      <c r="J62" s="2962"/>
    </row>
    <row r="63" spans="2:26">
      <c r="B63" s="2962"/>
      <c r="C63" s="2962"/>
      <c r="D63" s="2962"/>
      <c r="E63" s="2962"/>
      <c r="F63" s="2962"/>
      <c r="G63" s="2962"/>
      <c r="H63" s="2962"/>
      <c r="I63" s="2962"/>
      <c r="J63" s="2962"/>
    </row>
  </sheetData>
  <sheetProtection sheet="1" objects="1" scenarios="1"/>
  <phoneticPr fontId="2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4" zoomScale="85" zoomScaleNormal="85" workbookViewId="0">
      <selection activeCell="F35" sqref="F35"/>
    </sheetView>
  </sheetViews>
  <sheetFormatPr defaultRowHeight="15"/>
  <cols>
    <col min="1" max="1" width="9" style="2055" customWidth="1"/>
    <col min="2" max="2" width="20.625" style="2094" customWidth="1"/>
    <col min="3" max="3" width="11.875" style="2094" customWidth="1"/>
    <col min="4" max="4" width="40.5" style="2055" customWidth="1"/>
    <col min="5" max="5" width="15.75" style="2055" customWidth="1"/>
    <col min="6" max="6" width="10.625" style="2055" customWidth="1"/>
    <col min="7" max="7" width="4.875" style="2055" customWidth="1"/>
    <col min="8" max="8" width="8.5" style="2055" customWidth="1"/>
    <col min="9" max="9" width="21.25" style="2055" customWidth="1"/>
    <col min="10" max="10" width="12.25" style="2055" customWidth="1"/>
    <col min="11" max="11" width="40.125" style="2095" customWidth="1"/>
    <col min="12" max="12" width="18.375" style="2055" customWidth="1"/>
    <col min="13" max="13" width="13" style="2055" customWidth="1"/>
    <col min="14" max="14" width="9.5" style="2054" bestFit="1" customWidth="1"/>
    <col min="15" max="15" width="5.875" style="2054" customWidth="1"/>
    <col min="16" max="16" width="27.625" style="2054" customWidth="1"/>
    <col min="17" max="17" width="13.75" style="2092" customWidth="1"/>
    <col min="18" max="18" width="23.5" style="2054" customWidth="1"/>
    <col min="19" max="19" width="1.5" style="2054" customWidth="1"/>
    <col min="20" max="33" width="9" style="2054"/>
    <col min="34" max="16384" width="9" style="2055"/>
  </cols>
  <sheetData>
    <row r="1" spans="1:33" s="2049" customFormat="1" ht="21">
      <c r="A1" s="828" t="s">
        <v>1719</v>
      </c>
      <c r="B1" s="734"/>
      <c r="C1" s="769" t="s">
        <v>3193</v>
      </c>
      <c r="D1" s="3148" t="s">
        <v>945</v>
      </c>
      <c r="E1" s="2406" t="s">
        <v>2369</v>
      </c>
      <c r="F1" s="2407">
        <f ca="1">J53</f>
        <v>39.68</v>
      </c>
      <c r="G1" s="770">
        <f>MATCH(C1,'数据-取费表'!A6:A16,0)+5</f>
        <v>9</v>
      </c>
      <c r="H1" s="2045"/>
      <c r="I1" s="2046"/>
      <c r="J1" s="2046"/>
      <c r="K1" s="2047"/>
      <c r="L1" s="2046"/>
      <c r="M1" s="2046"/>
      <c r="N1" s="2048"/>
      <c r="O1" s="2048"/>
      <c r="P1" s="2048"/>
      <c r="Q1" s="2411"/>
      <c r="R1" s="2048"/>
      <c r="S1" s="2048"/>
      <c r="T1" s="2048"/>
      <c r="U1" s="2048"/>
      <c r="V1" s="2048"/>
      <c r="W1" s="2048"/>
      <c r="X1" s="2048"/>
      <c r="Y1" s="2048"/>
      <c r="Z1" s="2048"/>
      <c r="AA1" s="2048"/>
      <c r="AB1" s="2048"/>
      <c r="AC1" s="2048"/>
      <c r="AD1" s="2048"/>
      <c r="AE1" s="2048"/>
      <c r="AF1" s="2048"/>
      <c r="AG1" s="2048"/>
    </row>
    <row r="2" spans="1:33" ht="18" customHeight="1">
      <c r="A2" s="421" t="s">
        <v>1720</v>
      </c>
      <c r="B2" s="771">
        <f ca="1">C40+J29+L46</f>
        <v>116693</v>
      </c>
      <c r="C2" s="2052"/>
      <c r="D2" s="2050"/>
      <c r="E2" s="2051"/>
      <c r="F2" s="2051"/>
      <c r="G2" s="1585"/>
      <c r="H2" s="2052"/>
      <c r="I2" s="2052"/>
      <c r="J2" s="2052"/>
      <c r="K2" s="2053"/>
      <c r="L2" s="2052"/>
      <c r="M2" s="2052"/>
    </row>
    <row r="3" spans="1:33" ht="18" customHeight="1" thickBot="1">
      <c r="A3" s="829" t="s">
        <v>1721</v>
      </c>
      <c r="B3" s="830">
        <f ca="1">IF(ISERROR(B2*10000/F43),0,ROUND(B2*10000/F43,0))</f>
        <v>26419</v>
      </c>
      <c r="C3" s="2052"/>
      <c r="D3" s="2050"/>
      <c r="E3" s="2051"/>
      <c r="F3" s="2051"/>
      <c r="G3" s="1585"/>
      <c r="H3" s="772" t="s">
        <v>689</v>
      </c>
      <c r="I3" s="1358"/>
      <c r="J3" s="1358"/>
      <c r="K3" s="1586"/>
      <c r="L3" s="1358"/>
      <c r="M3" s="1358"/>
    </row>
    <row r="4" spans="1:33" ht="18" customHeight="1">
      <c r="A4" s="773" t="s">
        <v>624</v>
      </c>
      <c r="B4" s="774" t="s">
        <v>625</v>
      </c>
      <c r="C4" s="774" t="s">
        <v>1724</v>
      </c>
      <c r="D4" s="774" t="s">
        <v>627</v>
      </c>
      <c r="E4" s="775" t="s">
        <v>1725</v>
      </c>
      <c r="F4" s="776"/>
      <c r="G4" s="1587"/>
      <c r="H4" s="773" t="s">
        <v>624</v>
      </c>
      <c r="I4" s="774" t="s">
        <v>1727</v>
      </c>
      <c r="J4" s="774" t="s">
        <v>626</v>
      </c>
      <c r="K4" s="774" t="s">
        <v>627</v>
      </c>
      <c r="L4" s="775" t="s">
        <v>628</v>
      </c>
      <c r="M4" s="776"/>
    </row>
    <row r="5" spans="1:33" ht="18" customHeight="1">
      <c r="A5" s="777">
        <v>1</v>
      </c>
      <c r="B5" s="778" t="s">
        <v>2454</v>
      </c>
      <c r="C5" s="55">
        <f ca="1">C6+C10+C12</f>
        <v>6538</v>
      </c>
      <c r="D5" s="2515" t="s">
        <v>2457</v>
      </c>
      <c r="E5" s="2509"/>
      <c r="F5" s="2510"/>
      <c r="G5" s="1587"/>
      <c r="H5" s="777">
        <v>1</v>
      </c>
      <c r="I5" s="778" t="s">
        <v>2454</v>
      </c>
      <c r="J5" s="55">
        <f ca="1">J6+J10+J12</f>
        <v>0</v>
      </c>
      <c r="K5" s="2515" t="s">
        <v>2457</v>
      </c>
      <c r="L5" s="2509"/>
      <c r="M5" s="2510"/>
    </row>
    <row r="6" spans="1:33" ht="18" customHeight="1">
      <c r="A6" s="1825" t="s">
        <v>1818</v>
      </c>
      <c r="B6" s="3523" t="s">
        <v>2459</v>
      </c>
      <c r="C6" s="779">
        <f ca="1">ROUND(F6*F8*F7*(1-F9)/10000,0)</f>
        <v>6529</v>
      </c>
      <c r="D6" s="2516" t="s">
        <v>2458</v>
      </c>
      <c r="E6" s="780" t="s">
        <v>631</v>
      </c>
      <c r="F6" s="781">
        <f ca="1">INDIRECT("'数据-取费表'!u"&amp;$G$1)</f>
        <v>4.5</v>
      </c>
      <c r="G6" s="1587"/>
      <c r="H6" s="2523" t="s">
        <v>2465</v>
      </c>
      <c r="I6" s="3523" t="s">
        <v>2459</v>
      </c>
      <c r="J6" s="779">
        <f ca="1">ROUND(M6*M8*M7*(1-M9)/10000,0)</f>
        <v>0</v>
      </c>
      <c r="K6" s="339" t="s">
        <v>1731</v>
      </c>
      <c r="L6" s="780" t="s">
        <v>631</v>
      </c>
      <c r="M6" s="781">
        <f ca="1">INDIRECT("'数据-取费表'!z"&amp;$G$1)</f>
        <v>0</v>
      </c>
    </row>
    <row r="7" spans="1:33" ht="18" customHeight="1">
      <c r="A7" s="2519"/>
      <c r="B7" s="3524"/>
      <c r="C7" s="784"/>
      <c r="D7" s="785"/>
      <c r="E7" s="780" t="s">
        <v>1733</v>
      </c>
      <c r="F7" s="781">
        <f ca="1">IF(INDIRECT("'数据-取费表'!ah"&amp;$G$1)="",INDIRECT("'数据-取费表'!k"&amp;$G$1),INDIRECT("'数据-取费表'!ah"&amp;$G$1))</f>
        <v>44170</v>
      </c>
      <c r="G7" s="1587"/>
      <c r="H7" s="2508"/>
      <c r="I7" s="3524"/>
      <c r="J7" s="784"/>
      <c r="K7" s="785"/>
      <c r="L7" s="780" t="s">
        <v>1733</v>
      </c>
      <c r="M7" s="781">
        <f ca="1">F7</f>
        <v>44170</v>
      </c>
    </row>
    <row r="8" spans="1:33" ht="18" customHeight="1">
      <c r="A8" s="2512"/>
      <c r="B8" s="3525"/>
      <c r="C8" s="784"/>
      <c r="D8" s="785"/>
      <c r="E8" s="780" t="s">
        <v>1734</v>
      </c>
      <c r="F8" s="781">
        <f ca="1">INDIRECT("'数据-取费表'!ai"&amp;$G$1)</f>
        <v>365</v>
      </c>
      <c r="G8" s="1587"/>
      <c r="H8" s="2508"/>
      <c r="I8" s="3525"/>
      <c r="J8" s="784"/>
      <c r="K8" s="785"/>
      <c r="L8" s="780" t="s">
        <v>1734</v>
      </c>
      <c r="M8" s="781">
        <f ca="1">INDIRECT("'数据-取费表'!ai"&amp;$G$1)</f>
        <v>365</v>
      </c>
    </row>
    <row r="9" spans="1:33" ht="18" customHeight="1">
      <c r="A9" s="782"/>
      <c r="B9" s="3526"/>
      <c r="C9" s="784"/>
      <c r="D9" s="785"/>
      <c r="E9" s="780" t="s">
        <v>1735</v>
      </c>
      <c r="F9" s="790">
        <f ca="1">INDIRECT("'数据-取费表'!w"&amp;$G$1)</f>
        <v>0.1</v>
      </c>
      <c r="G9" s="1587"/>
      <c r="H9" s="2524"/>
      <c r="I9" s="3525"/>
      <c r="J9" s="784"/>
      <c r="K9" s="785"/>
      <c r="L9" s="791" t="s">
        <v>1735</v>
      </c>
      <c r="M9" s="792">
        <f ca="1">INDIRECT("'数据-取费表'!ab"&amp;$G$1)</f>
        <v>0</v>
      </c>
    </row>
    <row r="10" spans="1:33" ht="18" customHeight="1">
      <c r="A10" s="1825" t="s">
        <v>2463</v>
      </c>
      <c r="B10" s="2513" t="s">
        <v>2455</v>
      </c>
      <c r="C10" s="795">
        <f ca="1">ROUND(IF(F10="押一",F6*F8*F7/12*F11,IF(F10="押二",F6*F8*F7/12*2*F11,IF(F10="押三",F6*F8*F7/12*3*F11,C11*F11)))/10000,0)</f>
        <v>9</v>
      </c>
      <c r="D10" s="2520" t="s">
        <v>2462</v>
      </c>
      <c r="E10" s="2517" t="s">
        <v>2460</v>
      </c>
      <c r="F10" s="2640" t="s">
        <v>3006</v>
      </c>
      <c r="G10" s="1587"/>
      <c r="H10" s="2580" t="s">
        <v>2466</v>
      </c>
      <c r="I10" s="2585" t="s">
        <v>2455</v>
      </c>
      <c r="J10" s="779">
        <f ca="1">ROUND(IF(M10="押一",M6*M8*M7/12*M11,IF(M10="押二",M6*M8*M7/12*2*M11,IF(M10="押三",M6*M8*M7/12*3*M11,J11*M11)))/10000,0)</f>
        <v>0</v>
      </c>
      <c r="K10" s="2520" t="s">
        <v>2462</v>
      </c>
      <c r="L10" s="2517" t="s">
        <v>2460</v>
      </c>
      <c r="M10" s="2640"/>
    </row>
    <row r="11" spans="1:33" ht="18" customHeight="1">
      <c r="A11" s="786"/>
      <c r="B11" s="2514" t="s">
        <v>2570</v>
      </c>
      <c r="C11" s="2518"/>
      <c r="D11" s="785"/>
      <c r="E11" s="2517" t="s">
        <v>2461</v>
      </c>
      <c r="F11" s="792">
        <f ca="1">'数据-取费表'!B39</f>
        <v>1.4999999999999999E-2</v>
      </c>
      <c r="G11" s="1587"/>
      <c r="H11" s="2581"/>
      <c r="I11" s="2514" t="s">
        <v>2570</v>
      </c>
      <c r="J11" s="2518"/>
      <c r="K11" s="2582"/>
      <c r="L11" s="2517" t="s">
        <v>2461</v>
      </c>
      <c r="M11" s="2511">
        <f ca="1">'数据-取费表'!B39</f>
        <v>1.4999999999999999E-2</v>
      </c>
    </row>
    <row r="12" spans="1:33" ht="18" customHeight="1" thickBot="1">
      <c r="A12" s="2556" t="s">
        <v>2464</v>
      </c>
      <c r="B12" s="2557" t="s">
        <v>2456</v>
      </c>
      <c r="C12" s="2558"/>
      <c r="D12" s="2559"/>
      <c r="E12" s="2560"/>
      <c r="F12" s="2561"/>
      <c r="G12" s="1587"/>
      <c r="H12" s="2570" t="s">
        <v>2467</v>
      </c>
      <c r="I12" s="2583" t="s">
        <v>2456</v>
      </c>
      <c r="J12" s="2584"/>
      <c r="K12" s="2559"/>
      <c r="L12" s="2560"/>
      <c r="M12" s="2573"/>
    </row>
    <row r="13" spans="1:33" ht="18" customHeight="1" thickTop="1">
      <c r="A13" s="1824">
        <v>2</v>
      </c>
      <c r="B13" s="1822" t="s">
        <v>1736</v>
      </c>
      <c r="C13" s="788">
        <f ca="1">ROUND(C29*F13,0)</f>
        <v>21452</v>
      </c>
      <c r="D13" s="1829" t="s">
        <v>2292</v>
      </c>
      <c r="E13" s="1829" t="s">
        <v>1738</v>
      </c>
      <c r="F13" s="2555">
        <f ca="1">INDIRECT("'数据-取费表'!y"&amp;$G$1)</f>
        <v>1</v>
      </c>
      <c r="G13" s="1587"/>
      <c r="H13" s="1824">
        <v>2</v>
      </c>
      <c r="I13" s="1822" t="s">
        <v>1736</v>
      </c>
      <c r="J13" s="1814">
        <f ca="1">ROUND(J14*J15,0)</f>
        <v>0</v>
      </c>
      <c r="K13" s="1816" t="s">
        <v>1737</v>
      </c>
      <c r="L13" s="2571"/>
      <c r="M13" s="2572"/>
    </row>
    <row r="14" spans="1:33" ht="18" customHeight="1">
      <c r="A14" s="1643" t="s">
        <v>1878</v>
      </c>
      <c r="B14" s="780" t="s">
        <v>639</v>
      </c>
      <c r="C14" s="800">
        <f ca="1">INDIRECT("'数据-取费表'!m"&amp;$G$1)+INDIRECT("'数据-取费表'!t"&amp;$G$1)</f>
        <v>13378</v>
      </c>
      <c r="D14" s="3179" t="s">
        <v>1739</v>
      </c>
      <c r="E14" s="3180"/>
      <c r="F14" s="801"/>
      <c r="G14" s="1587"/>
      <c r="H14" s="1644" t="s">
        <v>1818</v>
      </c>
      <c r="I14" s="2226" t="s">
        <v>2825</v>
      </c>
      <c r="J14" s="53">
        <f ca="1">C29</f>
        <v>21452</v>
      </c>
      <c r="K14" s="26"/>
      <c r="L14" s="797"/>
      <c r="M14" s="798"/>
    </row>
    <row r="15" spans="1:33" s="2059" customFormat="1" ht="18" customHeight="1" thickBot="1">
      <c r="A15" s="1643" t="s">
        <v>1879</v>
      </c>
      <c r="B15" s="780" t="s">
        <v>641</v>
      </c>
      <c r="C15" s="53">
        <f ca="1">ROUND(C14*F15,0)</f>
        <v>669</v>
      </c>
      <c r="D15" s="802" t="s">
        <v>1740</v>
      </c>
      <c r="E15" s="802" t="s">
        <v>1741</v>
      </c>
      <c r="F15" s="803">
        <f>'数据-取费表'!B33</f>
        <v>0.05</v>
      </c>
      <c r="G15" s="1588"/>
      <c r="H15" s="2570" t="s">
        <v>1883</v>
      </c>
      <c r="I15" s="2565" t="s">
        <v>1738</v>
      </c>
      <c r="J15" s="2574">
        <f ca="1">INDIRECT("'数据-取费表'!ad"&amp;$G$1)</f>
        <v>0</v>
      </c>
      <c r="K15" s="2575"/>
      <c r="L15" s="2576"/>
      <c r="M15" s="2577"/>
      <c r="N15" s="2058"/>
      <c r="O15" s="2058"/>
      <c r="P15" s="2058"/>
      <c r="Q15" s="2412"/>
      <c r="R15" s="2058"/>
      <c r="S15" s="2058"/>
      <c r="T15" s="2058"/>
      <c r="U15" s="2058"/>
      <c r="V15" s="2058"/>
      <c r="W15" s="2058"/>
      <c r="X15" s="2058"/>
      <c r="Y15" s="2058"/>
      <c r="Z15" s="2058"/>
      <c r="AA15" s="2058"/>
      <c r="AB15" s="2058"/>
      <c r="AC15" s="2058"/>
      <c r="AD15" s="2058"/>
      <c r="AE15" s="2058"/>
      <c r="AF15" s="2058"/>
      <c r="AG15" s="2058"/>
    </row>
    <row r="16" spans="1:33" ht="18" customHeight="1" thickTop="1">
      <c r="A16" s="1643" t="s">
        <v>1880</v>
      </c>
      <c r="B16" s="780" t="s">
        <v>644</v>
      </c>
      <c r="C16" s="53">
        <f ca="1">ROUND(INDIRECT("'数据-取费表'!m"&amp;$G$1)*F16,0)</f>
        <v>0</v>
      </c>
      <c r="D16" s="780" t="s">
        <v>1740</v>
      </c>
      <c r="E16" s="780" t="s">
        <v>1741</v>
      </c>
      <c r="F16" s="805">
        <f ca="1">IF(INDIRECT("'数据-取费表'!c"&amp;$G$1)="住宅",'数据-取费表'!B34,0)</f>
        <v>0</v>
      </c>
      <c r="G16" s="1587"/>
      <c r="H16" s="1824" t="s">
        <v>1742</v>
      </c>
      <c r="I16" s="1822" t="s">
        <v>1743</v>
      </c>
      <c r="J16" s="788">
        <f ca="1">ROUND(J17+J22+J23+J24,0)</f>
        <v>531</v>
      </c>
      <c r="K16" s="1816" t="s">
        <v>1744</v>
      </c>
      <c r="L16" s="3181"/>
      <c r="M16" s="2510"/>
    </row>
    <row r="17" spans="1:33" s="2059" customFormat="1" ht="18" customHeight="1">
      <c r="A17" s="1643" t="s">
        <v>1881</v>
      </c>
      <c r="B17" s="780" t="s">
        <v>647</v>
      </c>
      <c r="C17" s="53">
        <f ca="1">ROUND(F17*(F43+INDIRECT("'数据-取费表'!S"&amp;$G$1))/10000,0)</f>
        <v>984</v>
      </c>
      <c r="D17" s="780" t="s">
        <v>1745</v>
      </c>
      <c r="E17" s="780" t="s">
        <v>649</v>
      </c>
      <c r="F17" s="56">
        <f>'数据-取费表'!B35</f>
        <v>200</v>
      </c>
      <c r="G17" s="1588"/>
      <c r="H17" s="1644" t="s">
        <v>1818</v>
      </c>
      <c r="I17" s="780" t="s">
        <v>650</v>
      </c>
      <c r="J17" s="53">
        <f ca="1">ROUND(IF(项目基本情况!B11="自然人",J5*M17,J18+J19+J20),0)</f>
        <v>209</v>
      </c>
      <c r="K17" s="3179" t="s">
        <v>1747</v>
      </c>
      <c r="L17" s="3177" t="s">
        <v>1748</v>
      </c>
      <c r="M17" s="806" t="str">
        <f ca="1">IF(项目基本情况!B11="企业","",IF(INDIRECT("'数据-取费表'!c"&amp;$G$1)="住宅",5%,IF(M6*M7*M8/12/(1+'数据-取费表'!C42)&gt;20000,12%,7%)))</f>
        <v/>
      </c>
      <c r="N17" s="2058"/>
      <c r="O17" s="2058"/>
      <c r="P17" s="2058"/>
      <c r="Q17" s="2412"/>
      <c r="R17" s="2058"/>
      <c r="S17" s="2058"/>
      <c r="T17" s="2058"/>
      <c r="U17" s="2058"/>
      <c r="V17" s="2058"/>
      <c r="W17" s="2058"/>
      <c r="X17" s="2058"/>
      <c r="Y17" s="2058"/>
      <c r="Z17" s="2058"/>
      <c r="AA17" s="2058"/>
      <c r="AB17" s="2058"/>
      <c r="AC17" s="2058"/>
      <c r="AD17" s="2058"/>
      <c r="AE17" s="2058"/>
      <c r="AF17" s="2058"/>
      <c r="AG17" s="2058"/>
    </row>
    <row r="18" spans="1:33" s="2059" customFormat="1" ht="18" customHeight="1">
      <c r="A18" s="1643" t="s">
        <v>1882</v>
      </c>
      <c r="B18" s="780" t="s">
        <v>653</v>
      </c>
      <c r="C18" s="53">
        <f ca="1">ROUND(C14*F18,0)</f>
        <v>201</v>
      </c>
      <c r="D18" s="780" t="s">
        <v>1740</v>
      </c>
      <c r="E18" s="780" t="s">
        <v>1741</v>
      </c>
      <c r="F18" s="805">
        <f>'数据-取费表'!B36</f>
        <v>1.4999999999999999E-2</v>
      </c>
      <c r="G18" s="1588"/>
      <c r="H18" s="1643" t="s">
        <v>1878</v>
      </c>
      <c r="I18" s="780" t="s">
        <v>1749</v>
      </c>
      <c r="J18" s="53">
        <f ca="1">ROUND(J5*M18/1.05,1)</f>
        <v>0</v>
      </c>
      <c r="K18" s="3177" t="s">
        <v>1750</v>
      </c>
      <c r="L18" s="780" t="s">
        <v>1741</v>
      </c>
      <c r="M18" s="805">
        <f>'数据-取费表'!B41</f>
        <v>5.6000000000000001E-2</v>
      </c>
      <c r="N18" s="2058"/>
      <c r="O18" s="2058"/>
      <c r="P18" s="2058"/>
      <c r="Q18" s="2412"/>
      <c r="R18" s="2058"/>
      <c r="S18" s="2058"/>
      <c r="T18" s="2058"/>
      <c r="U18" s="2058"/>
      <c r="V18" s="2058"/>
      <c r="W18" s="2058"/>
      <c r="X18" s="2058"/>
      <c r="Y18" s="2058"/>
      <c r="Z18" s="2058"/>
      <c r="AA18" s="2058"/>
      <c r="AB18" s="2058"/>
      <c r="AC18" s="2058"/>
      <c r="AD18" s="2058"/>
      <c r="AE18" s="2058"/>
      <c r="AF18" s="2058"/>
      <c r="AG18" s="2058"/>
    </row>
    <row r="19" spans="1:33" ht="18" customHeight="1">
      <c r="A19" s="1644" t="s">
        <v>1818</v>
      </c>
      <c r="B19" s="780" t="s">
        <v>656</v>
      </c>
      <c r="C19" s="53">
        <f ca="1">SUM(C14:C18)</f>
        <v>15232</v>
      </c>
      <c r="D19" s="256" t="s">
        <v>1751</v>
      </c>
      <c r="E19" s="3187"/>
      <c r="F19" s="56"/>
      <c r="G19" s="1587"/>
      <c r="H19" s="1643" t="s">
        <v>1879</v>
      </c>
      <c r="I19" s="780" t="s">
        <v>1752</v>
      </c>
      <c r="J19" s="53">
        <f ca="1">IF(K19="按租金收入计税",ROUND(J5*M19,1),ROUND(C29*F33*0.7,1))</f>
        <v>180.2</v>
      </c>
      <c r="K19" s="807" t="s">
        <v>659</v>
      </c>
      <c r="L19" s="780" t="s">
        <v>1741</v>
      </c>
      <c r="M19" s="805">
        <f>IF(K19="按租金收入计税",'数据-取费表'!B51,'数据-取费表'!B50)</f>
        <v>1.2E-2</v>
      </c>
    </row>
    <row r="20" spans="1:33" s="2059" customFormat="1" ht="18" customHeight="1">
      <c r="A20" s="1644" t="s">
        <v>1883</v>
      </c>
      <c r="B20" s="780" t="s">
        <v>660</v>
      </c>
      <c r="C20" s="53">
        <f ca="1">ROUND(C19*F20,0)</f>
        <v>305</v>
      </c>
      <c r="D20" s="808" t="s">
        <v>1753</v>
      </c>
      <c r="E20" s="780" t="s">
        <v>1741</v>
      </c>
      <c r="F20" s="805">
        <f>'数据-取费表'!B37</f>
        <v>0.02</v>
      </c>
      <c r="G20" s="1588"/>
      <c r="H20" s="1646" t="s">
        <v>1874</v>
      </c>
      <c r="I20" s="339" t="s">
        <v>1754</v>
      </c>
      <c r="J20" s="54">
        <f ca="1">ROUND(M20*M21/10000,0)</f>
        <v>29</v>
      </c>
      <c r="K20" s="810" t="s">
        <v>1755</v>
      </c>
      <c r="L20" s="780" t="s">
        <v>1756</v>
      </c>
      <c r="M20" s="636">
        <f>'数据-取费表'!B52</f>
        <v>20</v>
      </c>
      <c r="N20" s="2058"/>
      <c r="O20" s="2058"/>
      <c r="P20" s="2058"/>
      <c r="Q20" s="2412"/>
      <c r="R20" s="2058"/>
      <c r="S20" s="2058"/>
      <c r="T20" s="2058"/>
      <c r="U20" s="2058"/>
      <c r="V20" s="2058"/>
      <c r="W20" s="2058"/>
      <c r="X20" s="2058"/>
      <c r="Y20" s="2058"/>
      <c r="Z20" s="2058"/>
      <c r="AA20" s="2058"/>
      <c r="AB20" s="2058"/>
      <c r="AC20" s="2058"/>
      <c r="AD20" s="2058"/>
      <c r="AE20" s="2058"/>
      <c r="AF20" s="2058"/>
      <c r="AG20" s="2058"/>
    </row>
    <row r="21" spans="1:33" s="2059" customFormat="1" ht="18" customHeight="1">
      <c r="A21" s="1644" t="s">
        <v>1884</v>
      </c>
      <c r="B21" s="780" t="s">
        <v>1757</v>
      </c>
      <c r="C21" s="53" t="s">
        <v>1758</v>
      </c>
      <c r="D21" s="808" t="s">
        <v>2293</v>
      </c>
      <c r="E21" s="780" t="s">
        <v>1759</v>
      </c>
      <c r="F21" s="805">
        <f>'数据-取费表'!B38</f>
        <v>0.02</v>
      </c>
      <c r="G21" s="1588"/>
      <c r="H21" s="2525"/>
      <c r="I21" s="789"/>
      <c r="J21" s="69"/>
      <c r="K21" s="812"/>
      <c r="L21" s="780" t="s">
        <v>1760</v>
      </c>
      <c r="M21" s="781">
        <f ca="1">INDIRECT("'数据-取费表'!r"&amp;$G$1)</f>
        <v>14465.85</v>
      </c>
      <c r="N21" s="2058"/>
      <c r="O21" s="2058"/>
      <c r="P21" s="2058"/>
      <c r="Q21" s="2412"/>
      <c r="R21" s="2058"/>
      <c r="S21" s="2058"/>
      <c r="T21" s="2058"/>
      <c r="U21" s="2058"/>
      <c r="V21" s="2058"/>
      <c r="W21" s="2058"/>
      <c r="X21" s="2058"/>
      <c r="Y21" s="2058"/>
      <c r="Z21" s="2058"/>
      <c r="AA21" s="2058"/>
      <c r="AB21" s="2058"/>
      <c r="AC21" s="2058"/>
      <c r="AD21" s="2058"/>
      <c r="AE21" s="2058"/>
      <c r="AF21" s="2058"/>
      <c r="AG21" s="2058"/>
    </row>
    <row r="22" spans="1:33" ht="18" customHeight="1">
      <c r="A22" s="1644" t="s">
        <v>1885</v>
      </c>
      <c r="B22" s="780" t="s">
        <v>1761</v>
      </c>
      <c r="C22" s="53"/>
      <c r="D22" s="2591" t="str">
        <f>IF(F23&lt;=1,"单利计息。","复利计息。")&amp;"建造成本、管理费用、销售费用产生的利息。"</f>
        <v>复利计息。建造成本、管理费用、销售费用产生的利息。</v>
      </c>
      <c r="E22" s="3187"/>
      <c r="F22" s="56"/>
      <c r="G22" s="1587"/>
      <c r="H22" s="1644" t="s">
        <v>1883</v>
      </c>
      <c r="I22" s="780" t="s">
        <v>1762</v>
      </c>
      <c r="J22" s="53">
        <f ca="1">ROUND(J14*M22,0)</f>
        <v>322</v>
      </c>
      <c r="K22" s="3177" t="s">
        <v>1763</v>
      </c>
      <c r="L22" s="780" t="s">
        <v>1741</v>
      </c>
      <c r="M22" s="813">
        <f ca="1">INDIRECT("'数据-取费表'!Ak"&amp;$G$1)</f>
        <v>1.4999999999999999E-2</v>
      </c>
    </row>
    <row r="23" spans="1:33" s="2059" customFormat="1" ht="18" customHeight="1">
      <c r="A23" s="1643" t="s">
        <v>1825</v>
      </c>
      <c r="B23" s="780" t="s">
        <v>2532</v>
      </c>
      <c r="C23" s="53">
        <f ca="1">ROUND(IF('数据-取费表'!B22&lt;=1,(C19+C20)*F24*F23/2,(C19+C20)*(POWER((1+F24),F23/2)-1)),0)</f>
        <v>1120</v>
      </c>
      <c r="D23" s="2590" t="str">
        <f>IF(F23&lt;=1,"(建造成本+管理费用)×利率×(建设周期÷2)","(建造成本+管理费用)×((1+利率)^(建设周期÷2)-1)")</f>
        <v>(建造成本+管理费用)×((1+利率)^(建设周期÷2)-1)</v>
      </c>
      <c r="E23" s="780" t="s">
        <v>1764</v>
      </c>
      <c r="F23" s="636">
        <f>'数据-取费表'!B20</f>
        <v>3</v>
      </c>
      <c r="G23" s="1588"/>
      <c r="H23" s="1644" t="s">
        <v>1884</v>
      </c>
      <c r="I23" s="780" t="s">
        <v>673</v>
      </c>
      <c r="J23" s="53">
        <f ca="1">ROUND(J13*M23,0)</f>
        <v>0</v>
      </c>
      <c r="K23" s="3177" t="s">
        <v>1765</v>
      </c>
      <c r="L23" s="780" t="s">
        <v>1741</v>
      </c>
      <c r="M23" s="814">
        <f ca="1">INDIRECT("'数据-取费表'!Al"&amp;$G$1)</f>
        <v>1.5E-3</v>
      </c>
      <c r="N23" s="2058"/>
      <c r="O23" s="2058"/>
      <c r="P23" s="2058"/>
      <c r="Q23" s="2412"/>
      <c r="R23" s="2058"/>
      <c r="S23" s="2058"/>
      <c r="T23" s="2058"/>
      <c r="U23" s="2058"/>
      <c r="V23" s="2058"/>
      <c r="W23" s="2058"/>
      <c r="X23" s="2058"/>
      <c r="Y23" s="2058"/>
      <c r="Z23" s="2058"/>
      <c r="AA23" s="2058"/>
      <c r="AB23" s="2058"/>
      <c r="AC23" s="2058"/>
      <c r="AD23" s="2058"/>
      <c r="AE23" s="2058"/>
      <c r="AF23" s="2058"/>
      <c r="AG23" s="2058"/>
    </row>
    <row r="24" spans="1:33" s="2059" customFormat="1" ht="18" customHeight="1" thickBot="1">
      <c r="A24" s="1643" t="s">
        <v>1826</v>
      </c>
      <c r="B24" s="780" t="s">
        <v>1766</v>
      </c>
      <c r="C24" s="53">
        <f ca="1">ROUND(IF('数据-取费表'!B22&lt;=1,F21*F24*F23/2,F21*(POWER((1+F24),F23/2)-1)),4)</f>
        <v>1.4E-3</v>
      </c>
      <c r="D24" s="2590" t="str">
        <f>IF(F23&lt;=1,"销售费用×利率×(建设周期÷2)","销售费用×((1+利率)^(建设周期÷2)-1)")</f>
        <v>销售费用×((1+利率)^(建设周期÷2)-1)</v>
      </c>
      <c r="E24" s="780" t="s">
        <v>1767</v>
      </c>
      <c r="F24" s="815">
        <f ca="1">'数据-取费表'!B40</f>
        <v>4.7500000000000001E-2</v>
      </c>
      <c r="G24" s="1588"/>
      <c r="H24" s="2570" t="s">
        <v>1885</v>
      </c>
      <c r="I24" s="2565" t="s">
        <v>660</v>
      </c>
      <c r="J24" s="2563">
        <f ca="1">ROUND(J5*M24,0)</f>
        <v>0</v>
      </c>
      <c r="K24" s="2564" t="s">
        <v>1768</v>
      </c>
      <c r="L24" s="2565" t="s">
        <v>1741</v>
      </c>
      <c r="M24" s="2561">
        <f ca="1">INDIRECT("'数据-取费表'!Am"&amp;$G$1)</f>
        <v>0.01</v>
      </c>
      <c r="N24" s="2058"/>
      <c r="O24" s="2058"/>
      <c r="P24" s="2058"/>
      <c r="Q24" s="2412"/>
      <c r="R24" s="2058"/>
      <c r="S24" s="2058"/>
      <c r="T24" s="2058"/>
      <c r="U24" s="2058"/>
      <c r="V24" s="2058"/>
      <c r="W24" s="2058"/>
      <c r="X24" s="2058"/>
      <c r="Y24" s="2058"/>
      <c r="Z24" s="2058"/>
      <c r="AA24" s="2058"/>
      <c r="AB24" s="2058"/>
      <c r="AC24" s="2058"/>
      <c r="AD24" s="2058"/>
      <c r="AE24" s="2058"/>
      <c r="AF24" s="2058"/>
      <c r="AG24" s="2058"/>
    </row>
    <row r="25" spans="1:33" ht="18" customHeight="1" thickTop="1">
      <c r="A25" s="1645" t="s">
        <v>1834</v>
      </c>
      <c r="B25" s="780" t="s">
        <v>678</v>
      </c>
      <c r="C25" s="53"/>
      <c r="D25" s="256" t="s">
        <v>1769</v>
      </c>
      <c r="E25" s="3187"/>
      <c r="F25" s="56"/>
      <c r="G25" s="1587"/>
      <c r="H25" s="1824" t="s">
        <v>1770</v>
      </c>
      <c r="I25" s="3031" t="s">
        <v>2821</v>
      </c>
      <c r="J25" s="788">
        <f ca="1">J5-J16</f>
        <v>-531</v>
      </c>
      <c r="K25" s="2567" t="s">
        <v>1771</v>
      </c>
      <c r="L25" s="2568"/>
      <c r="M25" s="2569"/>
    </row>
    <row r="26" spans="1:33" ht="18" customHeight="1">
      <c r="A26" s="1643" t="s">
        <v>1825</v>
      </c>
      <c r="B26" s="780" t="s">
        <v>2433</v>
      </c>
      <c r="C26" s="53">
        <f ca="1">ROUND((C19+C20)*F26,0)</f>
        <v>3107</v>
      </c>
      <c r="D26" s="808" t="s">
        <v>1772</v>
      </c>
      <c r="E26" s="791" t="s">
        <v>1773</v>
      </c>
      <c r="F26" s="790">
        <f ca="1">INDIRECT("'数据-取费表'!q"&amp;$G$1)</f>
        <v>0.2</v>
      </c>
      <c r="G26" s="1587"/>
      <c r="H26" s="2521" t="s">
        <v>1774</v>
      </c>
      <c r="I26" s="2227" t="s">
        <v>2826</v>
      </c>
      <c r="J26" s="779">
        <f ca="1">IF(J5&lt;&gt;0,ROUND(J25*(1-((1+M28)/(1+M26))^M27)/(M26-M28),0),0)</f>
        <v>0</v>
      </c>
      <c r="K26" s="810" t="s">
        <v>1775</v>
      </c>
      <c r="L26" s="780" t="s">
        <v>2414</v>
      </c>
      <c r="M26" s="790">
        <f ca="1">INDIRECT("'数据-取费表'!I"&amp;$G$1)</f>
        <v>6.5000000000000002E-2</v>
      </c>
    </row>
    <row r="27" spans="1:33" ht="18" customHeight="1">
      <c r="A27" s="1643" t="s">
        <v>1826</v>
      </c>
      <c r="B27" s="780" t="s">
        <v>680</v>
      </c>
      <c r="C27" s="53">
        <f ca="1">ROUND(F21*F26,4)</f>
        <v>4.0000000000000001E-3</v>
      </c>
      <c r="D27" s="808" t="s">
        <v>1776</v>
      </c>
      <c r="E27" s="802"/>
      <c r="F27" s="803"/>
      <c r="G27" s="1587"/>
      <c r="H27" s="2522"/>
      <c r="I27" s="783"/>
      <c r="J27" s="784"/>
      <c r="K27" s="817" t="s">
        <v>1777</v>
      </c>
      <c r="L27" s="780" t="s">
        <v>1778</v>
      </c>
      <c r="M27" s="818">
        <f ca="1">INDIRECT("'数据-取费表'!ag"&amp;$G$1)</f>
        <v>0</v>
      </c>
    </row>
    <row r="28" spans="1:33" s="2059" customFormat="1" ht="18" customHeight="1">
      <c r="A28" s="1645" t="s">
        <v>1835</v>
      </c>
      <c r="B28" s="780" t="s">
        <v>681</v>
      </c>
      <c r="C28" s="53">
        <f>ROUND(F28/(1+'数据-取费表'!C42),4)</f>
        <v>5.33E-2</v>
      </c>
      <c r="D28" s="808" t="s">
        <v>2294</v>
      </c>
      <c r="E28" s="780" t="s">
        <v>1779</v>
      </c>
      <c r="F28" s="805">
        <f>'数据-取费表'!B41</f>
        <v>5.6000000000000001E-2</v>
      </c>
      <c r="G28" s="1588"/>
      <c r="H28" s="1824"/>
      <c r="I28" s="787"/>
      <c r="J28" s="788"/>
      <c r="K28" s="812"/>
      <c r="L28" s="780" t="s">
        <v>1780</v>
      </c>
      <c r="M28" s="790">
        <f ca="1">INDIRECT("'数据-取费表'!aa"&amp;$G$1)</f>
        <v>0</v>
      </c>
      <c r="N28" s="2058"/>
      <c r="O28" s="2058"/>
      <c r="P28" s="2058"/>
      <c r="Q28" s="2412"/>
      <c r="R28" s="2058"/>
      <c r="S28" s="2058"/>
      <c r="T28" s="2058"/>
      <c r="U28" s="2058"/>
      <c r="V28" s="2058"/>
      <c r="W28" s="2058"/>
      <c r="X28" s="2058"/>
      <c r="Y28" s="2058"/>
      <c r="Z28" s="2058"/>
      <c r="AA28" s="2058"/>
      <c r="AB28" s="2058"/>
      <c r="AC28" s="2058"/>
      <c r="AD28" s="2058"/>
      <c r="AE28" s="2058"/>
      <c r="AF28" s="2058"/>
      <c r="AG28" s="2058"/>
    </row>
    <row r="29" spans="1:33" s="2059" customFormat="1" ht="18" customHeight="1" thickBot="1">
      <c r="A29" s="2562" t="s">
        <v>1886</v>
      </c>
      <c r="B29" s="2560" t="s">
        <v>2295</v>
      </c>
      <c r="C29" s="2563">
        <f ca="1">ROUND((C19+C20+C23+C26)/(1-F21-C24-C27-C28),0)</f>
        <v>21452</v>
      </c>
      <c r="D29" s="2564"/>
      <c r="E29" s="2565"/>
      <c r="F29" s="2566"/>
      <c r="G29" s="1588"/>
      <c r="H29" s="819" t="s">
        <v>1781</v>
      </c>
      <c r="I29" s="820" t="s">
        <v>1782</v>
      </c>
      <c r="J29" s="821">
        <f ca="1">ROUND(J26/(1+F40)^F41,0)</f>
        <v>0</v>
      </c>
      <c r="K29" s="822" t="s">
        <v>1783</v>
      </c>
      <c r="L29" s="823"/>
      <c r="M29" s="824">
        <f ca="1">INDIRECT("'数据-取费表'!k"&amp;$G$1)</f>
        <v>44170</v>
      </c>
      <c r="N29" s="2058"/>
      <c r="O29" s="2058"/>
      <c r="P29" s="2058"/>
      <c r="Q29" s="2412"/>
      <c r="R29" s="2058"/>
      <c r="S29" s="2058"/>
      <c r="T29" s="2058"/>
      <c r="U29" s="2058"/>
      <c r="V29" s="2058"/>
      <c r="W29" s="2058"/>
      <c r="X29" s="2058"/>
      <c r="Y29" s="2058"/>
      <c r="Z29" s="2058"/>
      <c r="AA29" s="2058"/>
      <c r="AB29" s="2058"/>
      <c r="AC29" s="2058"/>
      <c r="AD29" s="2058"/>
      <c r="AE29" s="2058"/>
      <c r="AF29" s="2058"/>
      <c r="AG29" s="2058"/>
    </row>
    <row r="30" spans="1:33" ht="18" customHeight="1" thickTop="1">
      <c r="A30" s="1824" t="s">
        <v>1887</v>
      </c>
      <c r="B30" s="1822" t="s">
        <v>1784</v>
      </c>
      <c r="C30" s="788">
        <f ca="1">ROUND(C31+C36+C37+C38,0)</f>
        <v>977</v>
      </c>
      <c r="D30" s="1816" t="s">
        <v>1785</v>
      </c>
      <c r="E30" s="3181"/>
      <c r="F30" s="2510"/>
      <c r="G30" s="2057"/>
      <c r="H30" s="2060"/>
      <c r="I30" s="2061"/>
      <c r="J30" s="2062"/>
      <c r="K30" s="2063"/>
      <c r="L30" s="2064"/>
      <c r="M30" s="2065"/>
    </row>
    <row r="31" spans="1:33" ht="18" customHeight="1">
      <c r="A31" s="1644" t="s">
        <v>1818</v>
      </c>
      <c r="B31" s="780" t="s">
        <v>650</v>
      </c>
      <c r="C31" s="53">
        <f ca="1">ROUND(IF(项目基本情况!B11="自然人",C5*F31,C32+C33+C34),1)</f>
        <v>557.79999999999995</v>
      </c>
      <c r="D31" s="3179" t="s">
        <v>1786</v>
      </c>
      <c r="E31" s="3177" t="s">
        <v>1787</v>
      </c>
      <c r="F31" s="806" t="str">
        <f ca="1">IF(项目基本情况!B11="企业","",IF(INDIRECT("'数据-取费表'!c"&amp;$G$1)="住宅",5%,IF(F6*F7*F8/12/(1+'数据-取费表'!C42)&gt;20000,12%,7%)))</f>
        <v/>
      </c>
      <c r="G31" s="2057"/>
      <c r="H31" s="2060"/>
      <c r="I31" s="2061"/>
      <c r="J31" s="2062"/>
      <c r="K31" s="2063"/>
      <c r="L31" s="2064"/>
      <c r="M31" s="2065"/>
    </row>
    <row r="32" spans="1:33" ht="18" customHeight="1">
      <c r="A32" s="1643" t="s">
        <v>1825</v>
      </c>
      <c r="B32" s="780" t="s">
        <v>1788</v>
      </c>
      <c r="C32" s="53">
        <f ca="1">ROUND(C5*F32/1.05,1)</f>
        <v>348.7</v>
      </c>
      <c r="D32" s="3177" t="s">
        <v>1789</v>
      </c>
      <c r="E32" s="780" t="s">
        <v>1790</v>
      </c>
      <c r="F32" s="805">
        <f>'数据-取费表'!B41</f>
        <v>5.6000000000000001E-2</v>
      </c>
      <c r="G32" s="2057"/>
      <c r="H32" s="2066"/>
      <c r="I32" s="2067"/>
      <c r="J32" s="2068"/>
      <c r="K32" s="2069"/>
      <c r="L32" s="2070"/>
      <c r="M32" s="2071"/>
    </row>
    <row r="33" spans="1:18" ht="18" customHeight="1">
      <c r="A33" s="1643" t="s">
        <v>1826</v>
      </c>
      <c r="B33" s="780" t="s">
        <v>1791</v>
      </c>
      <c r="C33" s="53">
        <f ca="1">IF(D33="按租金收入计税",ROUND(C5*F33,1),IF(D33="按房产原值计税",ROUND(C29*F33*0.7,1),INDIRECT("'数据-取费表'!Aj"&amp;$G$1)))</f>
        <v>180.2</v>
      </c>
      <c r="D33" s="807" t="s">
        <v>1674</v>
      </c>
      <c r="E33" s="780" t="s">
        <v>1790</v>
      </c>
      <c r="F33" s="805">
        <f>IF(D33="按租金收入计税",'数据-取费表'!B51,'数据-取费表'!B50)</f>
        <v>1.2E-2</v>
      </c>
      <c r="G33" s="2057"/>
      <c r="H33" s="2072"/>
      <c r="I33" s="2072"/>
      <c r="J33" s="2072"/>
      <c r="K33" s="2073"/>
      <c r="L33" s="2072"/>
      <c r="M33" s="2072"/>
    </row>
    <row r="34" spans="1:18" ht="18" customHeight="1">
      <c r="A34" s="1646" t="s">
        <v>1827</v>
      </c>
      <c r="B34" s="339" t="s">
        <v>1792</v>
      </c>
      <c r="C34" s="54">
        <f ca="1">ROUND(F34*F35/10000,1)</f>
        <v>28.9</v>
      </c>
      <c r="D34" s="810" t="s">
        <v>1793</v>
      </c>
      <c r="E34" s="780" t="s">
        <v>1794</v>
      </c>
      <c r="F34" s="636">
        <f>'数据-取费表'!B52</f>
        <v>20</v>
      </c>
      <c r="G34" s="2057"/>
      <c r="H34" s="2060"/>
      <c r="I34" s="831" t="s">
        <v>1807</v>
      </c>
      <c r="J34" s="832"/>
      <c r="K34" s="2075"/>
      <c r="L34" s="2074"/>
      <c r="M34" s="2074"/>
    </row>
    <row r="35" spans="1:18" ht="18" customHeight="1">
      <c r="A35" s="811"/>
      <c r="B35" s="789"/>
      <c r="C35" s="69"/>
      <c r="D35" s="812"/>
      <c r="E35" s="780" t="s">
        <v>1795</v>
      </c>
      <c r="F35" s="781">
        <f ca="1">INDIRECT("'数据-取费表'!r"&amp;$G$1)</f>
        <v>14465.85</v>
      </c>
      <c r="G35" s="2057"/>
      <c r="H35" s="2060"/>
      <c r="I35" s="833" t="s">
        <v>1808</v>
      </c>
      <c r="J35" s="834">
        <f ca="1">ROUND(C13*J36,0)</f>
        <v>1716</v>
      </c>
      <c r="K35" s="2073"/>
      <c r="L35" s="2072"/>
      <c r="M35" s="2072"/>
    </row>
    <row r="36" spans="1:18" ht="18" customHeight="1">
      <c r="A36" s="1644" t="s">
        <v>1883</v>
      </c>
      <c r="B36" s="780" t="s">
        <v>1796</v>
      </c>
      <c r="C36" s="53">
        <f ca="1">ROUND(C29*F36,1)</f>
        <v>321.8</v>
      </c>
      <c r="D36" s="3177" t="s">
        <v>1797</v>
      </c>
      <c r="E36" s="780" t="s">
        <v>1790</v>
      </c>
      <c r="F36" s="813">
        <f ca="1">INDIRECT("'数据-取费表'!Ak"&amp;$G$1)</f>
        <v>1.4999999999999999E-2</v>
      </c>
      <c r="G36" s="2057"/>
      <c r="H36" s="2072"/>
      <c r="I36" s="835" t="s">
        <v>1809</v>
      </c>
      <c r="J36" s="836">
        <f ca="1">INDIRECT("'数据-取费表'!j"&amp;$G$1)</f>
        <v>0.08</v>
      </c>
      <c r="K36" s="2077"/>
      <c r="L36" s="2072"/>
      <c r="M36" s="2072"/>
    </row>
    <row r="37" spans="1:18" ht="18" customHeight="1">
      <c r="A37" s="1644" t="s">
        <v>1884</v>
      </c>
      <c r="B37" s="780" t="s">
        <v>673</v>
      </c>
      <c r="C37" s="53">
        <f ca="1">ROUND(C13*F37,1)</f>
        <v>32.200000000000003</v>
      </c>
      <c r="D37" s="3177" t="s">
        <v>1798</v>
      </c>
      <c r="E37" s="780" t="s">
        <v>1790</v>
      </c>
      <c r="F37" s="814">
        <f ca="1">INDIRECT("'数据-取费表'!Al"&amp;$G$1)</f>
        <v>1.5E-3</v>
      </c>
      <c r="G37" s="2057"/>
      <c r="H37" s="2072"/>
      <c r="I37" s="837" t="s">
        <v>1810</v>
      </c>
      <c r="J37" s="838"/>
      <c r="K37" s="2077"/>
      <c r="L37" s="2072"/>
      <c r="M37" s="2072"/>
    </row>
    <row r="38" spans="1:18" ht="18" customHeight="1" thickBot="1">
      <c r="A38" s="2570" t="s">
        <v>1885</v>
      </c>
      <c r="B38" s="2565" t="s">
        <v>660</v>
      </c>
      <c r="C38" s="2563">
        <f ca="1">ROUND(C5*F38,1)</f>
        <v>65.400000000000006</v>
      </c>
      <c r="D38" s="2564" t="s">
        <v>1799</v>
      </c>
      <c r="E38" s="2565" t="s">
        <v>1790</v>
      </c>
      <c r="F38" s="2561">
        <f ca="1">INDIRECT("'数据-取费表'!Am"&amp;$G$1)</f>
        <v>0.01</v>
      </c>
      <c r="G38" s="2057"/>
      <c r="H38" s="2072"/>
      <c r="I38" s="839" t="s">
        <v>1811</v>
      </c>
      <c r="J38" s="840"/>
      <c r="K38" s="2078"/>
      <c r="L38" s="2072"/>
      <c r="M38" s="2072"/>
    </row>
    <row r="39" spans="1:18" ht="24.6" customHeight="1" thickTop="1">
      <c r="A39" s="1824" t="s">
        <v>1888</v>
      </c>
      <c r="B39" s="3031" t="s">
        <v>2821</v>
      </c>
      <c r="C39" s="788">
        <f ca="1">C5-C30</f>
        <v>5561</v>
      </c>
      <c r="D39" s="2567" t="s">
        <v>1800</v>
      </c>
      <c r="E39" s="2568"/>
      <c r="F39" s="2569"/>
      <c r="G39" s="2057"/>
      <c r="H39" s="2072"/>
      <c r="I39" s="833" t="s">
        <v>1812</v>
      </c>
      <c r="J39" s="841">
        <f ca="1">ROUND(J35/C39,3)</f>
        <v>0.309</v>
      </c>
      <c r="K39" s="2078"/>
      <c r="L39" s="2072"/>
      <c r="M39" s="2072"/>
    </row>
    <row r="40" spans="1:18" ht="18" customHeight="1">
      <c r="A40" s="777" t="s">
        <v>1889</v>
      </c>
      <c r="B40" s="2227" t="s">
        <v>2296</v>
      </c>
      <c r="C40" s="779">
        <f ca="1">ROUND(C39*(1-((1+F42)/(1+F40))^F41)/(F40-F42),0)</f>
        <v>116693</v>
      </c>
      <c r="D40" s="810" t="s">
        <v>1801</v>
      </c>
      <c r="E40" s="780" t="s">
        <v>2414</v>
      </c>
      <c r="F40" s="790">
        <f ca="1">INDIRECT("'数据-取费表'!I"&amp;$G$1)</f>
        <v>6.5000000000000002E-2</v>
      </c>
      <c r="G40" s="2057"/>
      <c r="H40" s="2057"/>
      <c r="I40" s="833" t="s">
        <v>1813</v>
      </c>
      <c r="J40" s="841">
        <f ca="1">1-J39</f>
        <v>0.69100000000000006</v>
      </c>
      <c r="K40" s="2078"/>
      <c r="L40" s="2057"/>
      <c r="M40" s="2057"/>
    </row>
    <row r="41" spans="1:18" ht="18" customHeight="1">
      <c r="A41" s="782"/>
      <c r="B41" s="783"/>
      <c r="C41" s="784"/>
      <c r="D41" s="817" t="s">
        <v>1802</v>
      </c>
      <c r="E41" s="780" t="s">
        <v>2961</v>
      </c>
      <c r="F41" s="818">
        <f ca="1">IF(INDIRECT("'数据-取费表'!af"&amp;$G$1)=0,INDIRECT("'数据-取费表'!ae"&amp;$G$1),INDIRECT("'数据-取费表'!af"&amp;$G$1))</f>
        <v>39.68</v>
      </c>
      <c r="G41" s="2057"/>
      <c r="H41" s="1983"/>
      <c r="I41" s="839" t="s">
        <v>1814</v>
      </c>
      <c r="J41" s="842"/>
      <c r="K41" s="2077"/>
      <c r="L41" s="1983"/>
      <c r="M41" s="1983"/>
    </row>
    <row r="42" spans="1:18" ht="18" customHeight="1">
      <c r="A42" s="786"/>
      <c r="B42" s="787"/>
      <c r="C42" s="788"/>
      <c r="D42" s="812"/>
      <c r="E42" s="780" t="s">
        <v>1803</v>
      </c>
      <c r="F42" s="790">
        <f ca="1">INDIRECT("'数据-取费表'!v"&amp;$G$1)</f>
        <v>0.03</v>
      </c>
      <c r="G42" s="2057"/>
      <c r="H42" s="1983"/>
      <c r="I42" s="843" t="s">
        <v>1815</v>
      </c>
      <c r="J42" s="841">
        <f ca="1">ROUND(C13/C40,3)</f>
        <v>0.184</v>
      </c>
      <c r="K42" s="2077"/>
      <c r="L42" s="1983"/>
      <c r="M42" s="1983"/>
    </row>
    <row r="43" spans="1:18" ht="18" customHeight="1" thickBot="1">
      <c r="A43" s="819" t="s">
        <v>1781</v>
      </c>
      <c r="B43" s="820" t="s">
        <v>1804</v>
      </c>
      <c r="C43" s="821">
        <f ca="1">ROUND(C40*10000/F43,0)</f>
        <v>26419</v>
      </c>
      <c r="D43" s="822" t="s">
        <v>1805</v>
      </c>
      <c r="E43" s="823" t="s">
        <v>1806</v>
      </c>
      <c r="F43" s="824">
        <f ca="1">INDIRECT("'数据-取费表'!k"&amp;$G$1)</f>
        <v>44170</v>
      </c>
      <c r="G43" s="2057"/>
      <c r="H43" s="1983"/>
      <c r="I43" s="843" t="s">
        <v>1816</v>
      </c>
      <c r="J43" s="844">
        <f ca="1">1-J42</f>
        <v>0.81600000000000006</v>
      </c>
      <c r="K43" s="2077"/>
      <c r="L43" s="1983"/>
      <c r="M43" s="1983"/>
    </row>
    <row r="44" spans="1:18" s="2054" customFormat="1" ht="18" customHeight="1">
      <c r="A44" s="2080"/>
      <c r="B44" s="2080"/>
      <c r="C44" s="2097"/>
      <c r="D44" s="2080"/>
      <c r="E44" s="2080"/>
      <c r="F44" s="2080"/>
      <c r="K44" s="2081"/>
      <c r="Q44" s="2092"/>
    </row>
    <row r="45" spans="1:18" s="2054" customFormat="1" ht="18" customHeight="1" thickBot="1">
      <c r="A45" s="2080"/>
      <c r="B45" s="2080"/>
      <c r="C45" s="2097"/>
      <c r="D45" s="2080"/>
      <c r="E45" s="2080"/>
      <c r="F45" s="2080"/>
      <c r="K45" s="2081"/>
      <c r="Q45" s="2092"/>
    </row>
    <row r="46" spans="1:18" s="2054" customFormat="1" ht="18" customHeight="1" thickBot="1">
      <c r="A46" s="2225" t="s">
        <v>2290</v>
      </c>
      <c r="B46" s="2080"/>
      <c r="C46" s="2593">
        <f ca="1">C67-C40</f>
        <v>-124643</v>
      </c>
      <c r="D46" s="2080"/>
      <c r="E46" s="2080"/>
      <c r="F46" s="2080"/>
      <c r="I46" s="2373" t="s">
        <v>2337</v>
      </c>
      <c r="J46" s="2374"/>
      <c r="K46" s="2375"/>
      <c r="L46" s="2376" t="str">
        <f ca="1">IF(M47="住宅",0,IF(L48&gt;J51,L60,J60))</f>
        <v>0</v>
      </c>
      <c r="O46" s="2413" t="s">
        <v>2405</v>
      </c>
      <c r="P46" s="1587"/>
      <c r="Q46" s="1599"/>
      <c r="R46" s="1587"/>
    </row>
    <row r="47" spans="1:18" s="2054" customFormat="1" ht="18" customHeight="1" thickBot="1">
      <c r="A47" s="2367">
        <v>1</v>
      </c>
      <c r="B47" s="2368" t="s">
        <v>629</v>
      </c>
      <c r="C47" s="2593">
        <f ca="1">C48+C52+C54</f>
        <v>0</v>
      </c>
      <c r="D47" s="2080"/>
      <c r="E47" s="2080"/>
      <c r="F47" s="2080"/>
      <c r="I47" s="2377" t="s">
        <v>2338</v>
      </c>
      <c r="J47" s="2382" t="s">
        <v>3005</v>
      </c>
      <c r="K47" s="2383" t="s">
        <v>2344</v>
      </c>
      <c r="L47" s="2384">
        <f ca="1">INDIRECT("'数据-取费表'!d"&amp;$G$1)</f>
        <v>40</v>
      </c>
      <c r="M47" s="1599" t="str">
        <f>IF(ISNUMBER(FIND("住宅",C1)),"住宅","非住宅")</f>
        <v>非住宅</v>
      </c>
      <c r="O47" s="2414" t="s">
        <v>2370</v>
      </c>
      <c r="P47" s="2415" t="s">
        <v>2371</v>
      </c>
      <c r="Q47" s="2416" t="s">
        <v>2372</v>
      </c>
      <c r="R47" s="2415" t="s">
        <v>2373</v>
      </c>
    </row>
    <row r="48" spans="1:18" s="2054" customFormat="1" ht="18" customHeight="1" thickBot="1">
      <c r="A48" s="2662" t="s">
        <v>2534</v>
      </c>
      <c r="B48" s="2663" t="s">
        <v>2535</v>
      </c>
      <c r="C48" s="2369">
        <f ca="1">ROUND(F48*F50*F49*(1-F51)/10000,0)</f>
        <v>0</v>
      </c>
      <c r="D48" s="2370" t="s">
        <v>630</v>
      </c>
      <c r="E48" s="2371" t="s">
        <v>2291</v>
      </c>
      <c r="F48" s="2372"/>
      <c r="G48" s="2085"/>
      <c r="I48" s="2378" t="s">
        <v>2339</v>
      </c>
      <c r="J48" s="2385" t="s">
        <v>2345</v>
      </c>
      <c r="K48" s="2386" t="s">
        <v>2346</v>
      </c>
      <c r="L48" s="2387">
        <f ca="1">INDIRECT("'数据-取费表'!f"&amp;$G$1)</f>
        <v>39.68</v>
      </c>
      <c r="O48" s="2417" t="s">
        <v>2374</v>
      </c>
      <c r="P48" s="2418" t="s">
        <v>2400</v>
      </c>
      <c r="Q48" s="2419">
        <f ca="1">C40+J29</f>
        <v>116693</v>
      </c>
      <c r="R48" s="2418" t="s">
        <v>2375</v>
      </c>
    </row>
    <row r="49" spans="1:18" s="2054" customFormat="1" ht="18" customHeight="1" thickBot="1">
      <c r="A49" s="782"/>
      <c r="B49" s="783"/>
      <c r="C49" s="784"/>
      <c r="D49" s="785"/>
      <c r="E49" s="780" t="s">
        <v>1733</v>
      </c>
      <c r="F49" s="781">
        <f ca="1">F7</f>
        <v>44170</v>
      </c>
      <c r="G49" s="2085"/>
      <c r="H49" s="2088"/>
      <c r="I49" s="2378" t="s">
        <v>2340</v>
      </c>
      <c r="J49" s="2388">
        <v>2019</v>
      </c>
      <c r="K49" s="2389" t="s">
        <v>2347</v>
      </c>
      <c r="L49" s="2390"/>
      <c r="O49" s="2417" t="s">
        <v>2376</v>
      </c>
      <c r="P49" s="2418" t="s">
        <v>2401</v>
      </c>
      <c r="Q49" s="2419" t="str">
        <f ca="1">J60</f>
        <v>0</v>
      </c>
      <c r="R49" s="2418" t="s">
        <v>2377</v>
      </c>
    </row>
    <row r="50" spans="1:18" s="2054" customFormat="1" ht="18" customHeight="1" thickBot="1">
      <c r="A50" s="782"/>
      <c r="B50" s="783"/>
      <c r="C50" s="784"/>
      <c r="D50" s="785"/>
      <c r="E50" s="780" t="s">
        <v>1734</v>
      </c>
      <c r="F50" s="781">
        <f ca="1">F8</f>
        <v>365</v>
      </c>
      <c r="G50" s="2090"/>
      <c r="H50" s="2088"/>
      <c r="I50" s="2378" t="s">
        <v>2341</v>
      </c>
      <c r="J50" s="2391">
        <f>SUMPRODUCT((I63:I65=J47)*(J62:L62=J48)*(J63:L65))</f>
        <v>60</v>
      </c>
      <c r="K50" s="2389" t="s">
        <v>2348</v>
      </c>
      <c r="L50" s="2390"/>
      <c r="O50" s="2420" t="s">
        <v>2378</v>
      </c>
      <c r="P50" s="2418" t="s">
        <v>2402</v>
      </c>
      <c r="Q50" s="2419">
        <f ca="1">C29</f>
        <v>21452</v>
      </c>
      <c r="R50" s="2418" t="s">
        <v>2375</v>
      </c>
    </row>
    <row r="51" spans="1:18" s="2054" customFormat="1" ht="18" customHeight="1" thickBot="1">
      <c r="A51" s="782"/>
      <c r="B51" s="783"/>
      <c r="C51" s="784"/>
      <c r="D51" s="785"/>
      <c r="E51" s="780" t="s">
        <v>634</v>
      </c>
      <c r="F51" s="2366"/>
      <c r="H51" s="2088"/>
      <c r="I51" s="2379" t="s">
        <v>2342</v>
      </c>
      <c r="J51" s="2392">
        <f>IF(J49="",J50,J49+J50-YEAR('数据-取费表'!B2))</f>
        <v>62</v>
      </c>
      <c r="K51" s="2378" t="s">
        <v>2349</v>
      </c>
      <c r="L51" s="2393">
        <f ca="1">ROUND(-PV(INDIRECT("'数据-取费表'!h"&amp;$G$1),L48,(C39-C13*J36),0),0)</f>
        <v>57733</v>
      </c>
      <c r="O51" s="2420" t="s">
        <v>2379</v>
      </c>
      <c r="P51" s="2418" t="s">
        <v>2380</v>
      </c>
      <c r="Q51" s="2421" t="e">
        <f ca="1">J58</f>
        <v>#VALUE!</v>
      </c>
      <c r="R51" s="2422"/>
    </row>
    <row r="52" spans="1:18" s="2054" customFormat="1" ht="18" customHeight="1" thickBot="1">
      <c r="A52" s="777" t="s">
        <v>2533</v>
      </c>
      <c r="B52" s="2513" t="s">
        <v>2455</v>
      </c>
      <c r="C52" s="795">
        <f ca="1">ROUND(IF(F52="押一",F48*F50*F49/12*F11,IF(F52="押二",F48*F50*F49/12*2*F11,IF(F52="押三",F48*F50*F49/12*3*F11,C53*F11)))/10000,0)</f>
        <v>0</v>
      </c>
      <c r="D52" s="2520" t="s">
        <v>2462</v>
      </c>
      <c r="E52" s="2517" t="s">
        <v>2460</v>
      </c>
      <c r="F52" s="2640"/>
      <c r="I52" s="2380" t="s">
        <v>2416</v>
      </c>
      <c r="J52" s="2394">
        <v>0.08</v>
      </c>
      <c r="K52" s="2380" t="s">
        <v>2415</v>
      </c>
      <c r="L52" s="2394"/>
      <c r="O52" s="2420" t="s">
        <v>2381</v>
      </c>
      <c r="P52" s="2418" t="s">
        <v>2382</v>
      </c>
      <c r="Q52" s="2421">
        <f>J52</f>
        <v>0.08</v>
      </c>
      <c r="R52" s="2422"/>
    </row>
    <row r="53" spans="1:18" s="2054" customFormat="1" ht="39.75" customHeight="1" thickBot="1">
      <c r="A53" s="782"/>
      <c r="B53" s="2514" t="s">
        <v>2570</v>
      </c>
      <c r="C53" s="2518"/>
      <c r="D53" s="2520"/>
      <c r="E53" s="2517"/>
      <c r="F53" s="796"/>
      <c r="I53" s="2381" t="s">
        <v>2343</v>
      </c>
      <c r="J53" s="2395">
        <f ca="1">IF(M47="住宅",J51,IF(D1="——",MIN(J51,L48),IF(D1="土地（套用方法）",MIN(J51,L48-'数据-取费表'!B20))))</f>
        <v>39.68</v>
      </c>
      <c r="K53" s="3544" t="s">
        <v>2963</v>
      </c>
      <c r="L53" s="3545"/>
      <c r="O53" s="2420" t="s">
        <v>2383</v>
      </c>
      <c r="P53" s="2418" t="s">
        <v>2384</v>
      </c>
      <c r="Q53" s="2419">
        <f ca="1">J53</f>
        <v>39.68</v>
      </c>
      <c r="R53" s="2418" t="s">
        <v>2385</v>
      </c>
    </row>
    <row r="54" spans="1:18" s="2054" customFormat="1" ht="18" customHeight="1" thickBot="1">
      <c r="A54" s="2556" t="s">
        <v>2464</v>
      </c>
      <c r="B54" s="2557" t="s">
        <v>2456</v>
      </c>
      <c r="C54" s="2558"/>
      <c r="D54" s="2520"/>
      <c r="E54" s="2517"/>
      <c r="F54" s="796"/>
      <c r="I54" s="20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1"/>
      <c r="O54" s="2417" t="s">
        <v>2386</v>
      </c>
      <c r="P54" s="2418" t="s">
        <v>2403</v>
      </c>
      <c r="Q54" s="2419">
        <f ca="1">Q48+Q49</f>
        <v>116693</v>
      </c>
      <c r="R54" s="2422" t="s">
        <v>2387</v>
      </c>
    </row>
    <row r="55" spans="1:18" s="2054" customFormat="1" ht="18" customHeight="1" thickTop="1" thickBot="1">
      <c r="A55" s="793">
        <v>2</v>
      </c>
      <c r="B55" s="794" t="s">
        <v>638</v>
      </c>
      <c r="C55" s="795">
        <f ca="1">C13</f>
        <v>21452</v>
      </c>
      <c r="D55" s="791"/>
      <c r="E55" s="791"/>
      <c r="F55" s="796"/>
      <c r="I55" s="3119" t="s">
        <v>2350</v>
      </c>
      <c r="J55" s="3118" t="e">
        <f ca="1">ROUND(IF(J47="钢混",J57/J50,1-(1-2%)*(J50-J57)/J50),3)</f>
        <v>#VALUE!</v>
      </c>
      <c r="K55" s="2396" t="s">
        <v>2351</v>
      </c>
      <c r="L55" s="2397"/>
      <c r="O55" s="2423" t="s">
        <v>2406</v>
      </c>
      <c r="P55" s="1587"/>
      <c r="Q55" s="1599"/>
      <c r="R55" s="1587"/>
    </row>
    <row r="56" spans="1:18" s="2054" customFormat="1" ht="42.75" customHeight="1" thickBot="1">
      <c r="A56" s="1645"/>
      <c r="B56" s="2226" t="s">
        <v>2297</v>
      </c>
      <c r="C56" s="53">
        <f ca="1">C29</f>
        <v>21452</v>
      </c>
      <c r="D56" s="3177"/>
      <c r="E56" s="780"/>
      <c r="F56" s="805"/>
      <c r="I56" s="2398" t="s">
        <v>2352</v>
      </c>
      <c r="J56" s="3142" t="s">
        <v>1672</v>
      </c>
      <c r="K56" s="2378" t="s">
        <v>2357</v>
      </c>
      <c r="L56" s="2387" t="str">
        <f ca="1">IF(L48&lt;J51,"——",L48-J51)</f>
        <v>——</v>
      </c>
      <c r="O56" s="2414" t="s">
        <v>2370</v>
      </c>
      <c r="P56" s="2415" t="s">
        <v>2371</v>
      </c>
      <c r="Q56" s="2416" t="s">
        <v>2372</v>
      </c>
      <c r="R56" s="2415" t="s">
        <v>2373</v>
      </c>
    </row>
    <row r="57" spans="1:18" s="2054" customFormat="1" ht="28.5" customHeight="1" thickBot="1">
      <c r="A57" s="793" t="s">
        <v>1742</v>
      </c>
      <c r="B57" s="794" t="s">
        <v>645</v>
      </c>
      <c r="C57" s="795">
        <f ca="1">ROUND(C58+C63+C64+C65,0)</f>
        <v>563</v>
      </c>
      <c r="D57" s="26" t="s">
        <v>1744</v>
      </c>
      <c r="E57" s="3187"/>
      <c r="F57" s="56"/>
      <c r="I57" s="2399" t="s">
        <v>2353</v>
      </c>
      <c r="J57" s="2401" t="str">
        <f ca="1">IF(OR(M47="住宅",J51&lt;L48,J56="是"),"——",J51-L48)</f>
        <v>——</v>
      </c>
      <c r="K57" s="2378" t="s">
        <v>2358</v>
      </c>
      <c r="L57" s="2387" t="str">
        <f ca="1">IF(L48&lt;J51,"——",IF(L55="比较法",L49,IF(L55="基准地价",L50,L51)))</f>
        <v>——</v>
      </c>
      <c r="O57" s="2417" t="s">
        <v>2374</v>
      </c>
      <c r="P57" s="2418" t="s">
        <v>2404</v>
      </c>
      <c r="Q57" s="2419">
        <f ca="1">C40+J29</f>
        <v>116693</v>
      </c>
      <c r="R57" s="2418" t="s">
        <v>2375</v>
      </c>
    </row>
    <row r="58" spans="1:18" s="2054" customFormat="1" ht="28.5" customHeight="1" thickBot="1">
      <c r="A58" s="1644" t="s">
        <v>1818</v>
      </c>
      <c r="B58" s="780" t="s">
        <v>650</v>
      </c>
      <c r="C58" s="53">
        <f ca="1">ROUND(IF(项目基本情况!B11="自然人",C47*F58,C59+C60+C61),1)</f>
        <v>209.1</v>
      </c>
      <c r="D58" s="3179" t="s">
        <v>651</v>
      </c>
      <c r="E58" s="3177" t="s">
        <v>684</v>
      </c>
      <c r="F58" s="806" t="str">
        <f ca="1">IF(项目基本情况!B11="企业","",IF(INDIRECT("'数据-取费表'!c"&amp;$G$1)="住宅",5%,IF(F48*F49*F50/12/(1+'数据-取费表'!C42)&gt;20000,12%,7%)))</f>
        <v/>
      </c>
      <c r="I58" s="2399" t="s">
        <v>2354</v>
      </c>
      <c r="J58" s="3120" t="e">
        <f ca="1">IF(J55&lt;0.4,0.4,J55)</f>
        <v>#VALUE!</v>
      </c>
      <c r="K58" s="2378" t="s">
        <v>2359</v>
      </c>
      <c r="L58" s="2387" t="e">
        <f ca="1">ROUND(POWER(1+L52,L47-L48)*(POWER(1+L52,L48)-1)/(POWER(1+L52,L47)-1),4)</f>
        <v>#DIV/0!</v>
      </c>
      <c r="O58" s="2417" t="s">
        <v>2376</v>
      </c>
      <c r="P58" s="2418" t="s">
        <v>2407</v>
      </c>
      <c r="Q58" s="2419">
        <f ca="1">L60</f>
        <v>0</v>
      </c>
      <c r="R58" s="2422" t="s">
        <v>2409</v>
      </c>
    </row>
    <row r="59" spans="1:18" s="2054" customFormat="1" ht="28.5" customHeight="1" thickBot="1">
      <c r="A59" s="1643" t="s">
        <v>1825</v>
      </c>
      <c r="B59" s="780" t="s">
        <v>654</v>
      </c>
      <c r="C59" s="53">
        <f ca="1">ROUND(C47*F59/1.05,1)</f>
        <v>0</v>
      </c>
      <c r="D59" s="3177" t="s">
        <v>1750</v>
      </c>
      <c r="E59" s="780" t="s">
        <v>1741</v>
      </c>
      <c r="F59" s="805">
        <f t="shared" ref="F59:F65" si="0">F32</f>
        <v>5.6000000000000001E-2</v>
      </c>
      <c r="I59" s="2399" t="s">
        <v>2355</v>
      </c>
      <c r="J59" s="2401" t="str">
        <f ca="1">IF(OR(M47="住宅",J51&lt;L48,J56="是"),"——",ROUND(C29*J58,0))</f>
        <v>——</v>
      </c>
      <c r="K59" s="3149" t="str">
        <f>IF(D1="——","建筑物剩余耐用年限下的土地年期修正系数Kn","建设期及建筑物耐用年限下的土地年期修正系数Kn")</f>
        <v>建筑物剩余耐用年限下的土地年期修正系数Kn</v>
      </c>
      <c r="L59" s="2387" t="e">
        <f ca="1">ROUND(IF(D1="土地（套用方法）",POWER(1+L52,L47-(J51+'数据-取费表'!B20))*(POWER(1+L52,(J51+'数据-取费表'!B20))-1)/(POWER(1+L52,L47)-1),POWER(1+L52,L47-J51)*(POWER(1+L52,J51)-1)/(POWER(1+L52,L47)-1)),4)</f>
        <v>#DIV/0!</v>
      </c>
      <c r="O59" s="2420" t="s">
        <v>2378</v>
      </c>
      <c r="P59" s="2418" t="s">
        <v>2408</v>
      </c>
      <c r="Q59" s="2419">
        <f>IF(L55="比较法",L49,IF(L55="基准地价",L50,0))</f>
        <v>0</v>
      </c>
      <c r="R59" s="2418" t="s">
        <v>2375</v>
      </c>
    </row>
    <row r="60" spans="1:18" s="2054" customFormat="1" ht="18" customHeight="1" thickBot="1">
      <c r="A60" s="1643" t="s">
        <v>1826</v>
      </c>
      <c r="B60" s="780" t="s">
        <v>1752</v>
      </c>
      <c r="C60" s="53">
        <f ca="1">IF(D60="按租金收入计税",ROUND(C47*F60,1),IF(D60="按房产原值计税",ROUND(C56*F60*0.7,1),INDIRECT("'数据-取费表'!Aj"&amp;$G$1)))</f>
        <v>180.2</v>
      </c>
      <c r="D60" s="3177" t="str">
        <f>D33</f>
        <v>按房产原值计税</v>
      </c>
      <c r="E60" s="780" t="s">
        <v>1741</v>
      </c>
      <c r="F60" s="805">
        <f t="shared" si="0"/>
        <v>1.2E-2</v>
      </c>
      <c r="I60" s="2400" t="s">
        <v>2356</v>
      </c>
      <c r="J60" s="2402" t="str">
        <f ca="1">IF(OR(M47="住宅",J51&lt;L48,J56="是"),"0",ROUND(J59/(1+J52)^J53,0))</f>
        <v>0</v>
      </c>
      <c r="K60" s="2403" t="s">
        <v>2361</v>
      </c>
      <c r="L60" s="2402">
        <f ca="1">IF(OR(M47="住宅",L48&lt;J51),0,ROUND(L57*(L58/L59-1),0))</f>
        <v>0</v>
      </c>
      <c r="O60" s="2420" t="s">
        <v>2379</v>
      </c>
      <c r="P60" s="2418" t="s">
        <v>2388</v>
      </c>
      <c r="Q60" s="2421">
        <f>L52</f>
        <v>0</v>
      </c>
      <c r="R60" s="2422"/>
    </row>
    <row r="61" spans="1:18" s="2054" customFormat="1" ht="18" customHeight="1" thickBot="1">
      <c r="A61" s="1646" t="s">
        <v>1827</v>
      </c>
      <c r="B61" s="339" t="s">
        <v>662</v>
      </c>
      <c r="C61" s="54">
        <f ca="1">ROUND(F61*F62/10000,1)</f>
        <v>28.9</v>
      </c>
      <c r="D61" s="810" t="s">
        <v>663</v>
      </c>
      <c r="E61" s="780" t="s">
        <v>664</v>
      </c>
      <c r="F61" s="636">
        <f t="shared" si="0"/>
        <v>20</v>
      </c>
      <c r="K61" s="2081"/>
      <c r="O61" s="2420" t="s">
        <v>2381</v>
      </c>
      <c r="P61" s="2418" t="s">
        <v>2389</v>
      </c>
      <c r="Q61" s="2419" t="e">
        <f ca="1">L58</f>
        <v>#DIV/0!</v>
      </c>
      <c r="R61" s="2422" t="s">
        <v>2390</v>
      </c>
    </row>
    <row r="62" spans="1:18" s="2054" customFormat="1" ht="15.75" thickBot="1">
      <c r="A62" s="811"/>
      <c r="B62" s="789"/>
      <c r="C62" s="69"/>
      <c r="D62" s="812"/>
      <c r="E62" s="780" t="s">
        <v>668</v>
      </c>
      <c r="F62" s="781">
        <f t="shared" ca="1" si="0"/>
        <v>14465.85</v>
      </c>
      <c r="I62" s="2404" t="s">
        <v>2362</v>
      </c>
      <c r="J62" s="2405" t="s">
        <v>2363</v>
      </c>
      <c r="K62" s="2405" t="s">
        <v>2364</v>
      </c>
      <c r="L62" s="2405" t="s">
        <v>2345</v>
      </c>
      <c r="M62" s="3121" t="s">
        <v>2938</v>
      </c>
      <c r="O62" s="2420" t="s">
        <v>2383</v>
      </c>
      <c r="P62" s="2418" t="str">
        <f>K59</f>
        <v>建筑物剩余耐用年限下的土地年期修正系数Kn</v>
      </c>
      <c r="Q62" s="2419" t="e">
        <f ca="1">L59</f>
        <v>#DIV/0!</v>
      </c>
      <c r="R62" s="2422" t="s">
        <v>2392</v>
      </c>
    </row>
    <row r="63" spans="1:18" s="2054" customFormat="1" ht="15.75" thickBot="1">
      <c r="A63" s="1644" t="s">
        <v>1883</v>
      </c>
      <c r="B63" s="780" t="s">
        <v>670</v>
      </c>
      <c r="C63" s="53">
        <f ca="1">ROUND(C56*F63,1)</f>
        <v>321.8</v>
      </c>
      <c r="D63" s="3177" t="s">
        <v>1797</v>
      </c>
      <c r="E63" s="780" t="s">
        <v>1741</v>
      </c>
      <c r="F63" s="813">
        <f t="shared" ca="1" si="0"/>
        <v>1.4999999999999999E-2</v>
      </c>
      <c r="I63" s="2404" t="s">
        <v>2365</v>
      </c>
      <c r="J63" s="2405">
        <v>70</v>
      </c>
      <c r="K63" s="2405">
        <v>50</v>
      </c>
      <c r="L63" s="2405">
        <v>80</v>
      </c>
      <c r="M63" s="3122">
        <v>0.02</v>
      </c>
      <c r="O63" s="2417" t="s">
        <v>2386</v>
      </c>
      <c r="P63" s="2418" t="s">
        <v>2403</v>
      </c>
      <c r="Q63" s="2419">
        <f ca="1">Q57+Q58</f>
        <v>116693</v>
      </c>
      <c r="R63" s="2422" t="s">
        <v>2387</v>
      </c>
    </row>
    <row r="64" spans="1:18" s="2054" customFormat="1" ht="16.5" thickBot="1">
      <c r="A64" s="1644" t="s">
        <v>1884</v>
      </c>
      <c r="B64" s="780" t="s">
        <v>673</v>
      </c>
      <c r="C64" s="53">
        <f ca="1">ROUND(C55*F64,1)</f>
        <v>32.200000000000003</v>
      </c>
      <c r="D64" s="3177" t="s">
        <v>674</v>
      </c>
      <c r="E64" s="780" t="s">
        <v>1741</v>
      </c>
      <c r="F64" s="814">
        <f t="shared" ca="1" si="0"/>
        <v>1.5E-3</v>
      </c>
      <c r="I64" s="2404" t="s">
        <v>2366</v>
      </c>
      <c r="J64" s="2405">
        <v>50</v>
      </c>
      <c r="K64" s="2405">
        <v>35</v>
      </c>
      <c r="L64" s="2405">
        <v>60</v>
      </c>
      <c r="M64" s="3123">
        <v>0</v>
      </c>
      <c r="O64" s="2423" t="s">
        <v>2410</v>
      </c>
      <c r="P64" s="1587"/>
      <c r="Q64" s="1599"/>
      <c r="R64" s="1587"/>
    </row>
    <row r="65" spans="1:18" s="2054" customFormat="1" ht="15.75" thickBot="1">
      <c r="A65" s="1644" t="s">
        <v>1885</v>
      </c>
      <c r="B65" s="780" t="s">
        <v>660</v>
      </c>
      <c r="C65" s="53">
        <f ca="1">ROUND(C47*F65,1)</f>
        <v>0</v>
      </c>
      <c r="D65" s="3177" t="s">
        <v>677</v>
      </c>
      <c r="E65" s="780" t="s">
        <v>1741</v>
      </c>
      <c r="F65" s="790">
        <f t="shared" ca="1" si="0"/>
        <v>0.01</v>
      </c>
      <c r="I65" s="2404" t="s">
        <v>2367</v>
      </c>
      <c r="J65" s="2405">
        <v>40</v>
      </c>
      <c r="K65" s="2405">
        <v>30</v>
      </c>
      <c r="L65" s="2405">
        <v>50</v>
      </c>
      <c r="M65" s="3122">
        <v>0.02</v>
      </c>
      <c r="O65" s="2414" t="s">
        <v>2370</v>
      </c>
      <c r="P65" s="2415" t="s">
        <v>2371</v>
      </c>
      <c r="Q65" s="2416" t="s">
        <v>2372</v>
      </c>
      <c r="R65" s="2415" t="s">
        <v>2373</v>
      </c>
    </row>
    <row r="66" spans="1:18" s="2054" customFormat="1" ht="24.75" thickBot="1">
      <c r="A66" s="793" t="s">
        <v>1770</v>
      </c>
      <c r="B66" s="3032" t="s">
        <v>2821</v>
      </c>
      <c r="C66" s="795">
        <f ca="1">C47-C57</f>
        <v>-563</v>
      </c>
      <c r="D66" s="3179" t="s">
        <v>694</v>
      </c>
      <c r="E66" s="3182"/>
      <c r="F66" s="816"/>
      <c r="K66" s="2081"/>
      <c r="O66" s="2417" t="s">
        <v>2374</v>
      </c>
      <c r="P66" s="2418" t="s">
        <v>2404</v>
      </c>
      <c r="Q66" s="2419">
        <f ca="1">C40+J29</f>
        <v>116693</v>
      </c>
      <c r="R66" s="2418" t="s">
        <v>2375</v>
      </c>
    </row>
    <row r="67" spans="1:18" s="2054" customFormat="1" ht="20.25" thickBot="1">
      <c r="A67" s="777" t="s">
        <v>1774</v>
      </c>
      <c r="B67" s="2227" t="s">
        <v>2296</v>
      </c>
      <c r="C67" s="779">
        <f ca="1">ROUND(C66*(1-((1+F69)/(1+F67))^F68)/(F67-F69),0)</f>
        <v>-7950</v>
      </c>
      <c r="D67" s="810" t="s">
        <v>698</v>
      </c>
      <c r="E67" s="780" t="s">
        <v>699</v>
      </c>
      <c r="F67" s="790">
        <f ca="1">F40</f>
        <v>6.5000000000000002E-2</v>
      </c>
      <c r="K67" s="2081"/>
      <c r="O67" s="2417" t="s">
        <v>2376</v>
      </c>
      <c r="P67" s="2418" t="s">
        <v>2407</v>
      </c>
      <c r="Q67" s="2419">
        <f ca="1">L60</f>
        <v>0</v>
      </c>
      <c r="R67" s="2422" t="s">
        <v>2409</v>
      </c>
    </row>
    <row r="68" spans="1:18" ht="21.75" thickBot="1">
      <c r="A68" s="782"/>
      <c r="B68" s="783"/>
      <c r="C68" s="784"/>
      <c r="D68" s="817" t="s">
        <v>1802</v>
      </c>
      <c r="E68" s="780" t="s">
        <v>1778</v>
      </c>
      <c r="F68" s="818">
        <f ca="1">F41</f>
        <v>39.68</v>
      </c>
      <c r="O68" s="2420" t="s">
        <v>2378</v>
      </c>
      <c r="P68" s="2418" t="s">
        <v>2408</v>
      </c>
      <c r="Q68" s="2424">
        <f ca="1">L51</f>
        <v>57733</v>
      </c>
      <c r="R68" s="2425" t="s">
        <v>2411</v>
      </c>
    </row>
    <row r="69" spans="1:18" ht="20.25" thickBot="1">
      <c r="A69" s="786"/>
      <c r="B69" s="787"/>
      <c r="C69" s="788"/>
      <c r="D69" s="812"/>
      <c r="E69" s="780" t="s">
        <v>704</v>
      </c>
      <c r="F69" s="2366"/>
      <c r="O69" s="2420" t="s">
        <v>2379</v>
      </c>
      <c r="P69" s="2426" t="s">
        <v>2393</v>
      </c>
      <c r="Q69" s="2419">
        <f ca="1">ROUND(Q70-Q71*Q72,0)</f>
        <v>3845</v>
      </c>
      <c r="R69" s="2422"/>
    </row>
    <row r="70" spans="1:18" ht="15.75" thickBot="1">
      <c r="A70" s="819" t="s">
        <v>1781</v>
      </c>
      <c r="B70" s="820" t="s">
        <v>1804</v>
      </c>
      <c r="C70" s="821">
        <f ca="1">ROUND(C67*10000/F70,0)</f>
        <v>-1800</v>
      </c>
      <c r="D70" s="822" t="s">
        <v>1805</v>
      </c>
      <c r="E70" s="823" t="s">
        <v>1806</v>
      </c>
      <c r="F70" s="824">
        <f ca="1">F43</f>
        <v>44170</v>
      </c>
      <c r="O70" s="2420" t="s">
        <v>2394</v>
      </c>
      <c r="P70" s="2426" t="s">
        <v>2395</v>
      </c>
      <c r="Q70" s="2419">
        <f ca="1">C39</f>
        <v>5561</v>
      </c>
      <c r="R70" s="2418" t="s">
        <v>2375</v>
      </c>
    </row>
    <row r="71" spans="1:18" ht="15.75" thickBot="1">
      <c r="O71" s="2420" t="s">
        <v>2396</v>
      </c>
      <c r="P71" s="2426" t="s">
        <v>2397</v>
      </c>
      <c r="Q71" s="2419">
        <f ca="1">C13</f>
        <v>21452</v>
      </c>
      <c r="R71" s="2418" t="s">
        <v>2375</v>
      </c>
    </row>
    <row r="72" spans="1:18" ht="15.75" thickBot="1">
      <c r="O72" s="2420" t="s">
        <v>2398</v>
      </c>
      <c r="P72" s="2426" t="s">
        <v>2399</v>
      </c>
      <c r="Q72" s="2421">
        <f ca="1">J36</f>
        <v>0.08</v>
      </c>
      <c r="R72" s="2422"/>
    </row>
    <row r="73" spans="1:18" ht="15.75" thickBot="1">
      <c r="O73" s="2420" t="s">
        <v>2381</v>
      </c>
      <c r="P73" s="2418" t="s">
        <v>2388</v>
      </c>
      <c r="Q73" s="2421">
        <f>L52</f>
        <v>0</v>
      </c>
      <c r="R73" s="2422"/>
    </row>
    <row r="74" spans="1:18" ht="20.25" thickBot="1">
      <c r="O74" s="2420" t="s">
        <v>2383</v>
      </c>
      <c r="P74" s="2418" t="s">
        <v>2389</v>
      </c>
      <c r="Q74" s="2419" t="e">
        <f ca="1">L58</f>
        <v>#DIV/0!</v>
      </c>
      <c r="R74" s="2422" t="s">
        <v>2390</v>
      </c>
    </row>
    <row r="75" spans="1:18" ht="15.75" thickBot="1">
      <c r="O75" s="2420" t="s">
        <v>2412</v>
      </c>
      <c r="P75" s="2418" t="str">
        <f>K59</f>
        <v>建筑物剩余耐用年限下的土地年期修正系数Kn</v>
      </c>
      <c r="Q75" s="2419" t="e">
        <f ca="1">L59</f>
        <v>#DIV/0!</v>
      </c>
      <c r="R75" s="2422" t="s">
        <v>2392</v>
      </c>
    </row>
    <row r="76" spans="1:18" ht="15.75" thickBot="1">
      <c r="O76" s="2417" t="s">
        <v>2386</v>
      </c>
      <c r="P76" s="2418" t="s">
        <v>2403</v>
      </c>
      <c r="Q76" s="2419">
        <f ca="1">Q66+Q67</f>
        <v>116693</v>
      </c>
      <c r="R76" s="2422" t="s">
        <v>2387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27" priority="6">
      <formula>$L$48&gt;$J$51</formula>
    </cfRule>
  </conditionalFormatting>
  <conditionalFormatting sqref="I55">
    <cfRule type="expression" dxfId="26" priority="7">
      <formula>$J$51&gt;$L$48</formula>
    </cfRule>
  </conditionalFormatting>
  <conditionalFormatting sqref="I60">
    <cfRule type="expression" dxfId="25" priority="5">
      <formula>$J$51&gt;$L$48</formula>
    </cfRule>
  </conditionalFormatting>
  <conditionalFormatting sqref="K60">
    <cfRule type="expression" dxfId="24" priority="4">
      <formula>$L$48&gt;$J$51</formula>
    </cfRule>
  </conditionalFormatting>
  <conditionalFormatting sqref="C11">
    <cfRule type="expression" dxfId="23" priority="3">
      <formula>$F$10="自定义"</formula>
    </cfRule>
  </conditionalFormatting>
  <conditionalFormatting sqref="J11">
    <cfRule type="expression" dxfId="22" priority="2">
      <formula>$M$10="自定义"</formula>
    </cfRule>
  </conditionalFormatting>
  <conditionalFormatting sqref="C53">
    <cfRule type="expression" dxfId="21"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82"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5" zoomScaleNormal="85" workbookViewId="0">
      <selection activeCell="F35" sqref="F35"/>
    </sheetView>
  </sheetViews>
  <sheetFormatPr defaultRowHeight="15"/>
  <cols>
    <col min="1" max="1" width="9" style="2055" customWidth="1"/>
    <col min="2" max="2" width="20.625" style="2094" customWidth="1"/>
    <col min="3" max="3" width="11.875" style="2094" customWidth="1"/>
    <col min="4" max="4" width="40.5" style="2055" customWidth="1"/>
    <col min="5" max="5" width="15.75" style="2055" customWidth="1"/>
    <col min="6" max="6" width="10.625" style="2055" customWidth="1"/>
    <col min="7" max="7" width="4.875" style="2055" customWidth="1"/>
    <col min="8" max="8" width="8.5" style="2055" customWidth="1"/>
    <col min="9" max="9" width="21.25" style="2055" customWidth="1"/>
    <col min="10" max="10" width="12.25" style="2055" customWidth="1"/>
    <col min="11" max="11" width="40.125" style="2095" customWidth="1"/>
    <col min="12" max="12" width="18.375" style="2055" customWidth="1"/>
    <col min="13" max="13" width="13" style="2055" customWidth="1"/>
    <col min="14" max="14" width="9.5" style="2054" bestFit="1" customWidth="1"/>
    <col min="15" max="15" width="5.875" style="2054" customWidth="1"/>
    <col min="16" max="16" width="27.625" style="2054" customWidth="1"/>
    <col min="17" max="17" width="13.75" style="2092" customWidth="1"/>
    <col min="18" max="18" width="23.5" style="2054" customWidth="1"/>
    <col min="19" max="19" width="1.5" style="2054" customWidth="1"/>
    <col min="20" max="33" width="9" style="2054"/>
    <col min="34" max="16384" width="9" style="2055"/>
  </cols>
  <sheetData>
    <row r="1" spans="1:33" s="2049" customFormat="1" ht="21">
      <c r="A1" s="828" t="s">
        <v>1719</v>
      </c>
      <c r="B1" s="734"/>
      <c r="C1" s="769" t="s">
        <v>3194</v>
      </c>
      <c r="D1" s="3148" t="s">
        <v>945</v>
      </c>
      <c r="E1" s="2406" t="s">
        <v>2369</v>
      </c>
      <c r="F1" s="2407">
        <f ca="1">J53</f>
        <v>49.69</v>
      </c>
      <c r="G1" s="770">
        <f>MATCH(C1,'数据-取费表'!A6:A16,0)+5</f>
        <v>10</v>
      </c>
      <c r="H1" s="2045"/>
      <c r="I1" s="2046"/>
      <c r="J1" s="2046"/>
      <c r="K1" s="2047"/>
      <c r="L1" s="2046"/>
      <c r="M1" s="2046"/>
      <c r="N1" s="2048"/>
      <c r="O1" s="2048"/>
      <c r="P1" s="2048"/>
      <c r="Q1" s="2411"/>
      <c r="R1" s="2048"/>
      <c r="S1" s="2048"/>
      <c r="T1" s="2048"/>
      <c r="U1" s="2048"/>
      <c r="V1" s="2048"/>
      <c r="W1" s="2048"/>
      <c r="X1" s="2048"/>
      <c r="Y1" s="2048"/>
      <c r="Z1" s="2048"/>
      <c r="AA1" s="2048"/>
      <c r="AB1" s="2048"/>
      <c r="AC1" s="2048"/>
      <c r="AD1" s="2048"/>
      <c r="AE1" s="2048"/>
      <c r="AF1" s="2048"/>
      <c r="AG1" s="2048"/>
    </row>
    <row r="2" spans="1:33" ht="18" customHeight="1">
      <c r="A2" s="421" t="s">
        <v>1720</v>
      </c>
      <c r="B2" s="771">
        <f ca="1">C40+J29+L46</f>
        <v>121741</v>
      </c>
      <c r="C2" s="2052"/>
      <c r="D2" s="2050"/>
      <c r="E2" s="2051"/>
      <c r="F2" s="2051"/>
      <c r="G2" s="1585"/>
      <c r="H2" s="2052"/>
      <c r="I2" s="2052"/>
      <c r="J2" s="2052"/>
      <c r="K2" s="2053"/>
      <c r="L2" s="2052"/>
      <c r="M2" s="2052"/>
    </row>
    <row r="3" spans="1:33" ht="18" customHeight="1" thickBot="1">
      <c r="A3" s="829" t="s">
        <v>1721</v>
      </c>
      <c r="B3" s="830">
        <f ca="1">IF(ISERROR(B2*10000/F43),0,ROUND(B2*10000/F43,0))</f>
        <v>18998</v>
      </c>
      <c r="C3" s="2052"/>
      <c r="D3" s="2050"/>
      <c r="E3" s="2051"/>
      <c r="F3" s="2051"/>
      <c r="G3" s="1585"/>
      <c r="H3" s="772" t="s">
        <v>689</v>
      </c>
      <c r="I3" s="1358"/>
      <c r="J3" s="1358"/>
      <c r="K3" s="1586"/>
      <c r="L3" s="1358"/>
      <c r="M3" s="1358"/>
    </row>
    <row r="4" spans="1:33" ht="18" customHeight="1">
      <c r="A4" s="773" t="s">
        <v>624</v>
      </c>
      <c r="B4" s="774" t="s">
        <v>625</v>
      </c>
      <c r="C4" s="774" t="s">
        <v>1724</v>
      </c>
      <c r="D4" s="774" t="s">
        <v>627</v>
      </c>
      <c r="E4" s="775" t="s">
        <v>1725</v>
      </c>
      <c r="F4" s="776"/>
      <c r="G4" s="1587"/>
      <c r="H4" s="773" t="s">
        <v>624</v>
      </c>
      <c r="I4" s="774" t="s">
        <v>1727</v>
      </c>
      <c r="J4" s="774" t="s">
        <v>626</v>
      </c>
      <c r="K4" s="774" t="s">
        <v>627</v>
      </c>
      <c r="L4" s="775" t="s">
        <v>628</v>
      </c>
      <c r="M4" s="776"/>
    </row>
    <row r="5" spans="1:33" ht="18" customHeight="1">
      <c r="A5" s="777">
        <v>1</v>
      </c>
      <c r="B5" s="778" t="s">
        <v>2454</v>
      </c>
      <c r="C5" s="55">
        <f ca="1">C6+C10+C12</f>
        <v>6371</v>
      </c>
      <c r="D5" s="2515" t="s">
        <v>2457</v>
      </c>
      <c r="E5" s="2509"/>
      <c r="F5" s="2510"/>
      <c r="G5" s="1587"/>
      <c r="H5" s="777">
        <v>1</v>
      </c>
      <c r="I5" s="778" t="s">
        <v>2454</v>
      </c>
      <c r="J5" s="55">
        <f ca="1">J6+J10+J12</f>
        <v>0</v>
      </c>
      <c r="K5" s="2515" t="s">
        <v>2457</v>
      </c>
      <c r="L5" s="2509"/>
      <c r="M5" s="2510"/>
    </row>
    <row r="6" spans="1:33" ht="18" customHeight="1">
      <c r="A6" s="1825" t="s">
        <v>1818</v>
      </c>
      <c r="B6" s="3523" t="s">
        <v>2459</v>
      </c>
      <c r="C6" s="779">
        <f ca="1">ROUND(F6*F8*F7*(1-F9)/10000,0)</f>
        <v>6362</v>
      </c>
      <c r="D6" s="2516" t="s">
        <v>2458</v>
      </c>
      <c r="E6" s="780" t="s">
        <v>631</v>
      </c>
      <c r="F6" s="781">
        <f ca="1">INDIRECT("'数据-取费表'!u"&amp;$G$1)</f>
        <v>3.2</v>
      </c>
      <c r="G6" s="1587"/>
      <c r="H6" s="2523" t="s">
        <v>2465</v>
      </c>
      <c r="I6" s="3523" t="s">
        <v>2459</v>
      </c>
      <c r="J6" s="779">
        <f ca="1">ROUND(M6*M8*M7*(1-M9)/10000,0)</f>
        <v>0</v>
      </c>
      <c r="K6" s="339" t="s">
        <v>1731</v>
      </c>
      <c r="L6" s="780" t="s">
        <v>631</v>
      </c>
      <c r="M6" s="781">
        <f ca="1">INDIRECT("'数据-取费表'!z"&amp;$G$1)</f>
        <v>0</v>
      </c>
    </row>
    <row r="7" spans="1:33" ht="18" customHeight="1">
      <c r="A7" s="2519"/>
      <c r="B7" s="3524"/>
      <c r="C7" s="784"/>
      <c r="D7" s="785"/>
      <c r="E7" s="780" t="s">
        <v>1733</v>
      </c>
      <c r="F7" s="781">
        <f ca="1">IF(INDIRECT("'数据-取费表'!ah"&amp;$G$1)="",INDIRECT("'数据-取费表'!k"&amp;$G$1),INDIRECT("'数据-取费表'!ah"&amp;$G$1))</f>
        <v>64080</v>
      </c>
      <c r="G7" s="1587"/>
      <c r="H7" s="2508"/>
      <c r="I7" s="3524"/>
      <c r="J7" s="784"/>
      <c r="K7" s="785"/>
      <c r="L7" s="780" t="s">
        <v>1733</v>
      </c>
      <c r="M7" s="781">
        <f ca="1">F7</f>
        <v>64080</v>
      </c>
    </row>
    <row r="8" spans="1:33" ht="18" customHeight="1">
      <c r="A8" s="2512"/>
      <c r="B8" s="3525"/>
      <c r="C8" s="784"/>
      <c r="D8" s="785"/>
      <c r="E8" s="780" t="s">
        <v>1734</v>
      </c>
      <c r="F8" s="781">
        <f ca="1">INDIRECT("'数据-取费表'!ai"&amp;$G$1)</f>
        <v>365</v>
      </c>
      <c r="G8" s="1587"/>
      <c r="H8" s="2508"/>
      <c r="I8" s="3525"/>
      <c r="J8" s="784"/>
      <c r="K8" s="785"/>
      <c r="L8" s="780" t="s">
        <v>1734</v>
      </c>
      <c r="M8" s="781">
        <f ca="1">INDIRECT("'数据-取费表'!ai"&amp;$G$1)</f>
        <v>365</v>
      </c>
    </row>
    <row r="9" spans="1:33" ht="18" customHeight="1">
      <c r="A9" s="782"/>
      <c r="B9" s="3526"/>
      <c r="C9" s="784"/>
      <c r="D9" s="785"/>
      <c r="E9" s="780" t="s">
        <v>1735</v>
      </c>
      <c r="F9" s="790">
        <f ca="1">INDIRECT("'数据-取费表'!w"&amp;$G$1)</f>
        <v>0.15</v>
      </c>
      <c r="G9" s="1587"/>
      <c r="H9" s="2524"/>
      <c r="I9" s="3525"/>
      <c r="J9" s="784"/>
      <c r="K9" s="785"/>
      <c r="L9" s="791" t="s">
        <v>1735</v>
      </c>
      <c r="M9" s="792">
        <f ca="1">INDIRECT("'数据-取费表'!ab"&amp;$G$1)</f>
        <v>0</v>
      </c>
    </row>
    <row r="10" spans="1:33" ht="18" customHeight="1">
      <c r="A10" s="1825" t="s">
        <v>2463</v>
      </c>
      <c r="B10" s="2513" t="s">
        <v>2455</v>
      </c>
      <c r="C10" s="795">
        <f ca="1">ROUND(IF(F10="押一",F6*F8*F7/12*F11,IF(F10="押二",F6*F8*F7/12*2*F11,IF(F10="押三",F6*F8*F7/12*3*F11,C11*F11)))/10000,0)</f>
        <v>9</v>
      </c>
      <c r="D10" s="2520" t="s">
        <v>2462</v>
      </c>
      <c r="E10" s="2517" t="s">
        <v>2460</v>
      </c>
      <c r="F10" s="2640" t="s">
        <v>3006</v>
      </c>
      <c r="G10" s="1587"/>
      <c r="H10" s="2580" t="s">
        <v>2466</v>
      </c>
      <c r="I10" s="2585" t="s">
        <v>2455</v>
      </c>
      <c r="J10" s="779">
        <f ca="1">ROUND(IF(M10="押一",M6*M8*M7/12*M11,IF(M10="押二",M6*M8*M7/12*2*M11,IF(M10="押三",M6*M8*M7/12*3*M11,J11*M11)))/10000,0)</f>
        <v>0</v>
      </c>
      <c r="K10" s="2520" t="s">
        <v>2462</v>
      </c>
      <c r="L10" s="2517" t="s">
        <v>2460</v>
      </c>
      <c r="M10" s="2640"/>
    </row>
    <row r="11" spans="1:33" ht="18" customHeight="1">
      <c r="A11" s="786"/>
      <c r="B11" s="2514" t="s">
        <v>2570</v>
      </c>
      <c r="C11" s="2518"/>
      <c r="D11" s="785"/>
      <c r="E11" s="2517" t="s">
        <v>2461</v>
      </c>
      <c r="F11" s="792">
        <f ca="1">'数据-取费表'!B39</f>
        <v>1.4999999999999999E-2</v>
      </c>
      <c r="G11" s="1587"/>
      <c r="H11" s="2581"/>
      <c r="I11" s="2514" t="s">
        <v>2570</v>
      </c>
      <c r="J11" s="2518"/>
      <c r="K11" s="2582"/>
      <c r="L11" s="2517" t="s">
        <v>2461</v>
      </c>
      <c r="M11" s="2511">
        <f ca="1">'数据-取费表'!B39</f>
        <v>1.4999999999999999E-2</v>
      </c>
    </row>
    <row r="12" spans="1:33" ht="18" customHeight="1" thickBot="1">
      <c r="A12" s="2556" t="s">
        <v>2464</v>
      </c>
      <c r="B12" s="2557" t="s">
        <v>2456</v>
      </c>
      <c r="C12" s="2558"/>
      <c r="D12" s="2559"/>
      <c r="E12" s="2560"/>
      <c r="F12" s="2561"/>
      <c r="G12" s="1587"/>
      <c r="H12" s="2570" t="s">
        <v>2467</v>
      </c>
      <c r="I12" s="2583" t="s">
        <v>2456</v>
      </c>
      <c r="J12" s="2584"/>
      <c r="K12" s="2559"/>
      <c r="L12" s="2560"/>
      <c r="M12" s="2573"/>
    </row>
    <row r="13" spans="1:33" ht="18" customHeight="1" thickTop="1">
      <c r="A13" s="1824">
        <v>2</v>
      </c>
      <c r="B13" s="1822" t="s">
        <v>1736</v>
      </c>
      <c r="C13" s="788">
        <f ca="1">ROUND(C29*F13,0)</f>
        <v>27097</v>
      </c>
      <c r="D13" s="1829" t="s">
        <v>2292</v>
      </c>
      <c r="E13" s="1829" t="s">
        <v>1738</v>
      </c>
      <c r="F13" s="2555">
        <f ca="1">INDIRECT("'数据-取费表'!y"&amp;$G$1)</f>
        <v>1</v>
      </c>
      <c r="G13" s="1587"/>
      <c r="H13" s="1824">
        <v>2</v>
      </c>
      <c r="I13" s="1822" t="s">
        <v>1736</v>
      </c>
      <c r="J13" s="1814">
        <f ca="1">ROUND(J14*J15,0)</f>
        <v>0</v>
      </c>
      <c r="K13" s="1816" t="s">
        <v>1737</v>
      </c>
      <c r="L13" s="2571"/>
      <c r="M13" s="2572"/>
    </row>
    <row r="14" spans="1:33" ht="18" customHeight="1">
      <c r="A14" s="1643" t="s">
        <v>1878</v>
      </c>
      <c r="B14" s="780" t="s">
        <v>639</v>
      </c>
      <c r="C14" s="800">
        <f ca="1">INDIRECT("'数据-取费表'!m"&amp;$G$1)+INDIRECT("'数据-取费表'!t"&amp;$G$1)</f>
        <v>17485</v>
      </c>
      <c r="D14" s="3179" t="s">
        <v>1739</v>
      </c>
      <c r="E14" s="3180"/>
      <c r="F14" s="801"/>
      <c r="G14" s="1587"/>
      <c r="H14" s="1644" t="s">
        <v>1818</v>
      </c>
      <c r="I14" s="2226" t="s">
        <v>2825</v>
      </c>
      <c r="J14" s="53">
        <f ca="1">C29</f>
        <v>27097</v>
      </c>
      <c r="K14" s="26"/>
      <c r="L14" s="797"/>
      <c r="M14" s="798"/>
    </row>
    <row r="15" spans="1:33" s="2059" customFormat="1" ht="18" customHeight="1" thickBot="1">
      <c r="A15" s="1643" t="s">
        <v>1879</v>
      </c>
      <c r="B15" s="780" t="s">
        <v>641</v>
      </c>
      <c r="C15" s="53">
        <f ca="1">ROUND(C14*F15,0)</f>
        <v>874</v>
      </c>
      <c r="D15" s="802" t="s">
        <v>1740</v>
      </c>
      <c r="E15" s="802" t="s">
        <v>1741</v>
      </c>
      <c r="F15" s="803">
        <f>'数据-取费表'!B33</f>
        <v>0.05</v>
      </c>
      <c r="G15" s="1588"/>
      <c r="H15" s="2570" t="s">
        <v>1883</v>
      </c>
      <c r="I15" s="2565" t="s">
        <v>1738</v>
      </c>
      <c r="J15" s="2574">
        <f ca="1">INDIRECT("'数据-取费表'!ad"&amp;$G$1)</f>
        <v>0</v>
      </c>
      <c r="K15" s="2575"/>
      <c r="L15" s="2576"/>
      <c r="M15" s="2577"/>
      <c r="N15" s="2058"/>
      <c r="O15" s="2058"/>
      <c r="P15" s="2058"/>
      <c r="Q15" s="2412"/>
      <c r="R15" s="2058"/>
      <c r="S15" s="2058"/>
      <c r="T15" s="2058"/>
      <c r="U15" s="2058"/>
      <c r="V15" s="2058"/>
      <c r="W15" s="2058"/>
      <c r="X15" s="2058"/>
      <c r="Y15" s="2058"/>
      <c r="Z15" s="2058"/>
      <c r="AA15" s="2058"/>
      <c r="AB15" s="2058"/>
      <c r="AC15" s="2058"/>
      <c r="AD15" s="2058"/>
      <c r="AE15" s="2058"/>
      <c r="AF15" s="2058"/>
      <c r="AG15" s="2058"/>
    </row>
    <row r="16" spans="1:33" ht="18" customHeight="1" thickTop="1">
      <c r="A16" s="1643" t="s">
        <v>1880</v>
      </c>
      <c r="B16" s="780" t="s">
        <v>644</v>
      </c>
      <c r="C16" s="53">
        <f ca="1">ROUND(INDIRECT("'数据-取费表'!m"&amp;$G$1)*F16,0)</f>
        <v>0</v>
      </c>
      <c r="D16" s="780" t="s">
        <v>1740</v>
      </c>
      <c r="E16" s="780" t="s">
        <v>1741</v>
      </c>
      <c r="F16" s="805">
        <f ca="1">IF(INDIRECT("'数据-取费表'!c"&amp;$G$1)="住宅",'数据-取费表'!B34,0)</f>
        <v>0</v>
      </c>
      <c r="G16" s="1587"/>
      <c r="H16" s="1824" t="s">
        <v>1742</v>
      </c>
      <c r="I16" s="1822" t="s">
        <v>1743</v>
      </c>
      <c r="J16" s="788">
        <f ca="1">ROUND(J17+J22+J23+J24,0)</f>
        <v>676</v>
      </c>
      <c r="K16" s="1816" t="s">
        <v>1744</v>
      </c>
      <c r="L16" s="3181"/>
      <c r="M16" s="2510"/>
    </row>
    <row r="17" spans="1:33" s="2059" customFormat="1" ht="18" customHeight="1">
      <c r="A17" s="1643" t="s">
        <v>1881</v>
      </c>
      <c r="B17" s="780" t="s">
        <v>647</v>
      </c>
      <c r="C17" s="53">
        <f ca="1">ROUND(F17*(F43+INDIRECT("'数据-取费表'!S"&amp;$G$1))/10000,0)</f>
        <v>1428</v>
      </c>
      <c r="D17" s="780" t="s">
        <v>1745</v>
      </c>
      <c r="E17" s="780" t="s">
        <v>649</v>
      </c>
      <c r="F17" s="56">
        <f>'数据-取费表'!B35</f>
        <v>200</v>
      </c>
      <c r="G17" s="1588"/>
      <c r="H17" s="1644" t="s">
        <v>1818</v>
      </c>
      <c r="I17" s="780" t="s">
        <v>650</v>
      </c>
      <c r="J17" s="53">
        <f ca="1">ROUND(IF(项目基本情况!B11="自然人",J5*M17,J18+J19+J20),0)</f>
        <v>270</v>
      </c>
      <c r="K17" s="3179" t="s">
        <v>1747</v>
      </c>
      <c r="L17" s="3177" t="s">
        <v>1748</v>
      </c>
      <c r="M17" s="806" t="str">
        <f ca="1">IF(项目基本情况!B11="企业","",IF(INDIRECT("'数据-取费表'!c"&amp;$G$1)="住宅",5%,IF(M6*M7*M8/12/(1+'数据-取费表'!C42)&gt;20000,12%,7%)))</f>
        <v/>
      </c>
      <c r="N17" s="2058"/>
      <c r="O17" s="2058"/>
      <c r="P17" s="2058"/>
      <c r="Q17" s="2412"/>
      <c r="R17" s="2058"/>
      <c r="S17" s="2058"/>
      <c r="T17" s="2058"/>
      <c r="U17" s="2058"/>
      <c r="V17" s="2058"/>
      <c r="W17" s="2058"/>
      <c r="X17" s="2058"/>
      <c r="Y17" s="2058"/>
      <c r="Z17" s="2058"/>
      <c r="AA17" s="2058"/>
      <c r="AB17" s="2058"/>
      <c r="AC17" s="2058"/>
      <c r="AD17" s="2058"/>
      <c r="AE17" s="2058"/>
      <c r="AF17" s="2058"/>
      <c r="AG17" s="2058"/>
    </row>
    <row r="18" spans="1:33" s="2059" customFormat="1" ht="18" customHeight="1">
      <c r="A18" s="1643" t="s">
        <v>1882</v>
      </c>
      <c r="B18" s="780" t="s">
        <v>653</v>
      </c>
      <c r="C18" s="53">
        <f ca="1">ROUND(C14*F18,0)</f>
        <v>262</v>
      </c>
      <c r="D18" s="780" t="s">
        <v>1740</v>
      </c>
      <c r="E18" s="780" t="s">
        <v>1741</v>
      </c>
      <c r="F18" s="805">
        <f>'数据-取费表'!B36</f>
        <v>1.4999999999999999E-2</v>
      </c>
      <c r="G18" s="1588"/>
      <c r="H18" s="1643" t="s">
        <v>1878</v>
      </c>
      <c r="I18" s="780" t="s">
        <v>1749</v>
      </c>
      <c r="J18" s="53">
        <f ca="1">ROUND(J5*M18/1.05,1)</f>
        <v>0</v>
      </c>
      <c r="K18" s="3177" t="s">
        <v>1750</v>
      </c>
      <c r="L18" s="780" t="s">
        <v>1741</v>
      </c>
      <c r="M18" s="805">
        <f>'数据-取费表'!B41</f>
        <v>5.6000000000000001E-2</v>
      </c>
      <c r="N18" s="2058"/>
      <c r="O18" s="2058"/>
      <c r="P18" s="2058"/>
      <c r="Q18" s="2412"/>
      <c r="R18" s="2058"/>
      <c r="S18" s="2058"/>
      <c r="T18" s="2058"/>
      <c r="U18" s="2058"/>
      <c r="V18" s="2058"/>
      <c r="W18" s="2058"/>
      <c r="X18" s="2058"/>
      <c r="Y18" s="2058"/>
      <c r="Z18" s="2058"/>
      <c r="AA18" s="2058"/>
      <c r="AB18" s="2058"/>
      <c r="AC18" s="2058"/>
      <c r="AD18" s="2058"/>
      <c r="AE18" s="2058"/>
      <c r="AF18" s="2058"/>
      <c r="AG18" s="2058"/>
    </row>
    <row r="19" spans="1:33" ht="18" customHeight="1">
      <c r="A19" s="1644" t="s">
        <v>1818</v>
      </c>
      <c r="B19" s="780" t="s">
        <v>656</v>
      </c>
      <c r="C19" s="53">
        <f ca="1">SUM(C14:C18)</f>
        <v>20049</v>
      </c>
      <c r="D19" s="256" t="s">
        <v>1751</v>
      </c>
      <c r="E19" s="3187"/>
      <c r="F19" s="56"/>
      <c r="G19" s="1587"/>
      <c r="H19" s="1643" t="s">
        <v>1879</v>
      </c>
      <c r="I19" s="780" t="s">
        <v>1752</v>
      </c>
      <c r="J19" s="53">
        <f ca="1">IF(K19="按租金收入计税",ROUND(J5*M19,1),ROUND(C29*F33*0.7,1))</f>
        <v>227.6</v>
      </c>
      <c r="K19" s="807" t="s">
        <v>659</v>
      </c>
      <c r="L19" s="780" t="s">
        <v>1741</v>
      </c>
      <c r="M19" s="805">
        <f>IF(K19="按租金收入计税",'数据-取费表'!B51,'数据-取费表'!B50)</f>
        <v>1.2E-2</v>
      </c>
    </row>
    <row r="20" spans="1:33" s="2059" customFormat="1" ht="18" customHeight="1">
      <c r="A20" s="1644" t="s">
        <v>1883</v>
      </c>
      <c r="B20" s="780" t="s">
        <v>660</v>
      </c>
      <c r="C20" s="53">
        <f ca="1">ROUND(C19*F20,0)</f>
        <v>401</v>
      </c>
      <c r="D20" s="808" t="s">
        <v>1753</v>
      </c>
      <c r="E20" s="780" t="s">
        <v>1741</v>
      </c>
      <c r="F20" s="805">
        <f>'数据-取费表'!B37</f>
        <v>0.02</v>
      </c>
      <c r="G20" s="1588"/>
      <c r="H20" s="1646" t="s">
        <v>1874</v>
      </c>
      <c r="I20" s="339" t="s">
        <v>1754</v>
      </c>
      <c r="J20" s="54">
        <f ca="1">ROUND(M20*M21/10000,0)</f>
        <v>42</v>
      </c>
      <c r="K20" s="810" t="s">
        <v>1755</v>
      </c>
      <c r="L20" s="780" t="s">
        <v>1756</v>
      </c>
      <c r="M20" s="636">
        <f>'数据-取费表'!B52</f>
        <v>20</v>
      </c>
      <c r="N20" s="2058"/>
      <c r="O20" s="2058"/>
      <c r="P20" s="2058"/>
      <c r="Q20" s="2412"/>
      <c r="R20" s="2058"/>
      <c r="S20" s="2058"/>
      <c r="T20" s="2058"/>
      <c r="U20" s="2058"/>
      <c r="V20" s="2058"/>
      <c r="W20" s="2058"/>
      <c r="X20" s="2058"/>
      <c r="Y20" s="2058"/>
      <c r="Z20" s="2058"/>
      <c r="AA20" s="2058"/>
      <c r="AB20" s="2058"/>
      <c r="AC20" s="2058"/>
      <c r="AD20" s="2058"/>
      <c r="AE20" s="2058"/>
      <c r="AF20" s="2058"/>
      <c r="AG20" s="2058"/>
    </row>
    <row r="21" spans="1:33" s="2059" customFormat="1" ht="18" customHeight="1">
      <c r="A21" s="1644" t="s">
        <v>1884</v>
      </c>
      <c r="B21" s="780" t="s">
        <v>1757</v>
      </c>
      <c r="C21" s="53" t="s">
        <v>1758</v>
      </c>
      <c r="D21" s="808" t="s">
        <v>2293</v>
      </c>
      <c r="E21" s="780" t="s">
        <v>1759</v>
      </c>
      <c r="F21" s="805">
        <f>'数据-取费表'!B38</f>
        <v>0.02</v>
      </c>
      <c r="G21" s="1588"/>
      <c r="H21" s="2525"/>
      <c r="I21" s="789"/>
      <c r="J21" s="69"/>
      <c r="K21" s="812"/>
      <c r="L21" s="780" t="s">
        <v>1760</v>
      </c>
      <c r="M21" s="781">
        <f ca="1">INDIRECT("'数据-取费表'!r"&amp;$G$1)</f>
        <v>20986.46</v>
      </c>
      <c r="N21" s="2058"/>
      <c r="O21" s="2058"/>
      <c r="P21" s="2058"/>
      <c r="Q21" s="2412"/>
      <c r="R21" s="2058"/>
      <c r="S21" s="2058"/>
      <c r="T21" s="2058"/>
      <c r="U21" s="2058"/>
      <c r="V21" s="2058"/>
      <c r="W21" s="2058"/>
      <c r="X21" s="2058"/>
      <c r="Y21" s="2058"/>
      <c r="Z21" s="2058"/>
      <c r="AA21" s="2058"/>
      <c r="AB21" s="2058"/>
      <c r="AC21" s="2058"/>
      <c r="AD21" s="2058"/>
      <c r="AE21" s="2058"/>
      <c r="AF21" s="2058"/>
      <c r="AG21" s="2058"/>
    </row>
    <row r="22" spans="1:33" ht="18" customHeight="1">
      <c r="A22" s="1644" t="s">
        <v>1885</v>
      </c>
      <c r="B22" s="780" t="s">
        <v>1761</v>
      </c>
      <c r="C22" s="53"/>
      <c r="D22" s="2591" t="str">
        <f>IF(F23&lt;=1,"单利计息。","复利计息。")&amp;"建造成本、管理费用、销售费用产生的利息。"</f>
        <v>复利计息。建造成本、管理费用、销售费用产生的利息。</v>
      </c>
      <c r="E22" s="3187"/>
      <c r="F22" s="56"/>
      <c r="G22" s="1587"/>
      <c r="H22" s="1644" t="s">
        <v>1883</v>
      </c>
      <c r="I22" s="780" t="s">
        <v>1762</v>
      </c>
      <c r="J22" s="53">
        <f ca="1">ROUND(J14*M22,0)</f>
        <v>406</v>
      </c>
      <c r="K22" s="3177" t="s">
        <v>1763</v>
      </c>
      <c r="L22" s="780" t="s">
        <v>1741</v>
      </c>
      <c r="M22" s="813">
        <f ca="1">INDIRECT("'数据-取费表'!Ak"&amp;$G$1)</f>
        <v>1.4999999999999999E-2</v>
      </c>
    </row>
    <row r="23" spans="1:33" s="2059" customFormat="1" ht="18" customHeight="1">
      <c r="A23" s="1643" t="s">
        <v>1825</v>
      </c>
      <c r="B23" s="780" t="s">
        <v>2532</v>
      </c>
      <c r="C23" s="53">
        <f ca="1">ROUND(IF('数据-取费表'!B22&lt;=1,(C19+C20)*F24*F23/2,(C19+C20)*(POWER((1+F24),F23/2)-1)),0)</f>
        <v>1474</v>
      </c>
      <c r="D23" s="2590" t="str">
        <f>IF(F23&lt;=1,"(建造成本+管理费用)×利率×(建设周期÷2)","(建造成本+管理费用)×((1+利率)^(建设周期÷2)-1)")</f>
        <v>(建造成本+管理费用)×((1+利率)^(建设周期÷2)-1)</v>
      </c>
      <c r="E23" s="780" t="s">
        <v>1764</v>
      </c>
      <c r="F23" s="636">
        <f>'数据-取费表'!B20</f>
        <v>3</v>
      </c>
      <c r="G23" s="1588"/>
      <c r="H23" s="1644" t="s">
        <v>1884</v>
      </c>
      <c r="I23" s="780" t="s">
        <v>673</v>
      </c>
      <c r="J23" s="53">
        <f ca="1">ROUND(J13*M23,0)</f>
        <v>0</v>
      </c>
      <c r="K23" s="3177" t="s">
        <v>1765</v>
      </c>
      <c r="L23" s="780" t="s">
        <v>1741</v>
      </c>
      <c r="M23" s="814">
        <f ca="1">INDIRECT("'数据-取费表'!Al"&amp;$G$1)</f>
        <v>1.5E-3</v>
      </c>
      <c r="N23" s="2058"/>
      <c r="O23" s="2058"/>
      <c r="P23" s="2058"/>
      <c r="Q23" s="2412"/>
      <c r="R23" s="2058"/>
      <c r="S23" s="2058"/>
      <c r="T23" s="2058"/>
      <c r="U23" s="2058"/>
      <c r="V23" s="2058"/>
      <c r="W23" s="2058"/>
      <c r="X23" s="2058"/>
      <c r="Y23" s="2058"/>
      <c r="Z23" s="2058"/>
      <c r="AA23" s="2058"/>
      <c r="AB23" s="2058"/>
      <c r="AC23" s="2058"/>
      <c r="AD23" s="2058"/>
      <c r="AE23" s="2058"/>
      <c r="AF23" s="2058"/>
      <c r="AG23" s="2058"/>
    </row>
    <row r="24" spans="1:33" s="2059" customFormat="1" ht="18" customHeight="1" thickBot="1">
      <c r="A24" s="1643" t="s">
        <v>1826</v>
      </c>
      <c r="B24" s="780" t="s">
        <v>1766</v>
      </c>
      <c r="C24" s="53">
        <f ca="1">ROUND(IF('数据-取费表'!B22&lt;=1,F21*F24*F23/2,F21*(POWER((1+F24),F23/2)-1)),4)</f>
        <v>1.4E-3</v>
      </c>
      <c r="D24" s="2590" t="str">
        <f>IF(F23&lt;=1,"销售费用×利率×(建设周期÷2)","销售费用×((1+利率)^(建设周期÷2)-1)")</f>
        <v>销售费用×((1+利率)^(建设周期÷2)-1)</v>
      </c>
      <c r="E24" s="780" t="s">
        <v>1767</v>
      </c>
      <c r="F24" s="815">
        <f ca="1">'数据-取费表'!B40</f>
        <v>4.7500000000000001E-2</v>
      </c>
      <c r="G24" s="1588"/>
      <c r="H24" s="2570" t="s">
        <v>1885</v>
      </c>
      <c r="I24" s="2565" t="s">
        <v>660</v>
      </c>
      <c r="J24" s="2563">
        <f ca="1">ROUND(J5*M24,0)</f>
        <v>0</v>
      </c>
      <c r="K24" s="2564" t="s">
        <v>1768</v>
      </c>
      <c r="L24" s="2565" t="s">
        <v>1741</v>
      </c>
      <c r="M24" s="2561">
        <f ca="1">INDIRECT("'数据-取费表'!Am"&amp;$G$1)</f>
        <v>0.01</v>
      </c>
      <c r="N24" s="2058"/>
      <c r="O24" s="2058"/>
      <c r="P24" s="2058"/>
      <c r="Q24" s="2412"/>
      <c r="R24" s="2058"/>
      <c r="S24" s="2058"/>
      <c r="T24" s="2058"/>
      <c r="U24" s="2058"/>
      <c r="V24" s="2058"/>
      <c r="W24" s="2058"/>
      <c r="X24" s="2058"/>
      <c r="Y24" s="2058"/>
      <c r="Z24" s="2058"/>
      <c r="AA24" s="2058"/>
      <c r="AB24" s="2058"/>
      <c r="AC24" s="2058"/>
      <c r="AD24" s="2058"/>
      <c r="AE24" s="2058"/>
      <c r="AF24" s="2058"/>
      <c r="AG24" s="2058"/>
    </row>
    <row r="25" spans="1:33" ht="18" customHeight="1" thickTop="1">
      <c r="A25" s="1645" t="s">
        <v>1834</v>
      </c>
      <c r="B25" s="780" t="s">
        <v>678</v>
      </c>
      <c r="C25" s="53"/>
      <c r="D25" s="256" t="s">
        <v>1769</v>
      </c>
      <c r="E25" s="3187"/>
      <c r="F25" s="56"/>
      <c r="G25" s="1587"/>
      <c r="H25" s="1824" t="s">
        <v>1770</v>
      </c>
      <c r="I25" s="3031" t="s">
        <v>2821</v>
      </c>
      <c r="J25" s="788">
        <f ca="1">J5-J16</f>
        <v>-676</v>
      </c>
      <c r="K25" s="2567" t="s">
        <v>1771</v>
      </c>
      <c r="L25" s="2568"/>
      <c r="M25" s="2569"/>
    </row>
    <row r="26" spans="1:33" ht="18" customHeight="1">
      <c r="A26" s="1643" t="s">
        <v>1825</v>
      </c>
      <c r="B26" s="780" t="s">
        <v>2433</v>
      </c>
      <c r="C26" s="53">
        <f ca="1">ROUND((C19+C20)*F26,0)</f>
        <v>3068</v>
      </c>
      <c r="D26" s="808" t="s">
        <v>1772</v>
      </c>
      <c r="E26" s="791" t="s">
        <v>1773</v>
      </c>
      <c r="F26" s="790">
        <f ca="1">INDIRECT("'数据-取费表'!q"&amp;$G$1)</f>
        <v>0.15</v>
      </c>
      <c r="G26" s="1587"/>
      <c r="H26" s="2521" t="s">
        <v>1774</v>
      </c>
      <c r="I26" s="2227" t="s">
        <v>2826</v>
      </c>
      <c r="J26" s="779">
        <f ca="1">IF(J5&lt;&gt;0,ROUND(J25*(1-((1+M28)/(1+M26))^M27)/(M26-M28),0),0)</f>
        <v>0</v>
      </c>
      <c r="K26" s="810" t="s">
        <v>1775</v>
      </c>
      <c r="L26" s="780" t="s">
        <v>2414</v>
      </c>
      <c r="M26" s="790">
        <f ca="1">INDIRECT("'数据-取费表'!I"&amp;$G$1)</f>
        <v>0.06</v>
      </c>
    </row>
    <row r="27" spans="1:33" ht="18" customHeight="1">
      <c r="A27" s="1643" t="s">
        <v>1826</v>
      </c>
      <c r="B27" s="780" t="s">
        <v>680</v>
      </c>
      <c r="C27" s="53">
        <f ca="1">ROUND(F21*F26,4)</f>
        <v>3.0000000000000001E-3</v>
      </c>
      <c r="D27" s="808" t="s">
        <v>1776</v>
      </c>
      <c r="E27" s="802"/>
      <c r="F27" s="803"/>
      <c r="G27" s="1587"/>
      <c r="H27" s="2522"/>
      <c r="I27" s="783"/>
      <c r="J27" s="784"/>
      <c r="K27" s="817" t="s">
        <v>1777</v>
      </c>
      <c r="L27" s="780" t="s">
        <v>1778</v>
      </c>
      <c r="M27" s="818">
        <f ca="1">INDIRECT("'数据-取费表'!ag"&amp;$G$1)</f>
        <v>0</v>
      </c>
    </row>
    <row r="28" spans="1:33" s="2059" customFormat="1" ht="18" customHeight="1">
      <c r="A28" s="1645" t="s">
        <v>1835</v>
      </c>
      <c r="B28" s="780" t="s">
        <v>681</v>
      </c>
      <c r="C28" s="53">
        <f>ROUND(F28/(1+'数据-取费表'!C42),4)</f>
        <v>5.33E-2</v>
      </c>
      <c r="D28" s="808" t="s">
        <v>2294</v>
      </c>
      <c r="E28" s="780" t="s">
        <v>1779</v>
      </c>
      <c r="F28" s="805">
        <f>'数据-取费表'!B41</f>
        <v>5.6000000000000001E-2</v>
      </c>
      <c r="G28" s="1588"/>
      <c r="H28" s="1824"/>
      <c r="I28" s="787"/>
      <c r="J28" s="788"/>
      <c r="K28" s="812"/>
      <c r="L28" s="780" t="s">
        <v>1780</v>
      </c>
      <c r="M28" s="790">
        <f ca="1">INDIRECT("'数据-取费表'!aa"&amp;$G$1)</f>
        <v>0</v>
      </c>
      <c r="N28" s="2058"/>
      <c r="O28" s="2058"/>
      <c r="P28" s="2058"/>
      <c r="Q28" s="2412"/>
      <c r="R28" s="2058"/>
      <c r="S28" s="2058"/>
      <c r="T28" s="2058"/>
      <c r="U28" s="2058"/>
      <c r="V28" s="2058"/>
      <c r="W28" s="2058"/>
      <c r="X28" s="2058"/>
      <c r="Y28" s="2058"/>
      <c r="Z28" s="2058"/>
      <c r="AA28" s="2058"/>
      <c r="AB28" s="2058"/>
      <c r="AC28" s="2058"/>
      <c r="AD28" s="2058"/>
      <c r="AE28" s="2058"/>
      <c r="AF28" s="2058"/>
      <c r="AG28" s="2058"/>
    </row>
    <row r="29" spans="1:33" s="2059" customFormat="1" ht="18" customHeight="1" thickBot="1">
      <c r="A29" s="2562" t="s">
        <v>1886</v>
      </c>
      <c r="B29" s="2560" t="s">
        <v>2295</v>
      </c>
      <c r="C29" s="2563">
        <f ca="1">ROUND((C19+C20+C23+C26)/(1-F21-C24-C27-C28),0)</f>
        <v>27097</v>
      </c>
      <c r="D29" s="2564"/>
      <c r="E29" s="2565"/>
      <c r="F29" s="2566"/>
      <c r="G29" s="1588"/>
      <c r="H29" s="819" t="s">
        <v>1781</v>
      </c>
      <c r="I29" s="820" t="s">
        <v>1782</v>
      </c>
      <c r="J29" s="821">
        <f ca="1">ROUND(J26/(1+F40)^F41,0)</f>
        <v>0</v>
      </c>
      <c r="K29" s="822" t="s">
        <v>1783</v>
      </c>
      <c r="L29" s="823"/>
      <c r="M29" s="824">
        <f ca="1">INDIRECT("'数据-取费表'!k"&amp;$G$1)</f>
        <v>64080</v>
      </c>
      <c r="N29" s="2058"/>
      <c r="O29" s="2058"/>
      <c r="P29" s="2058"/>
      <c r="Q29" s="2412"/>
      <c r="R29" s="2058"/>
      <c r="S29" s="2058"/>
      <c r="T29" s="2058"/>
      <c r="U29" s="2058"/>
      <c r="V29" s="2058"/>
      <c r="W29" s="2058"/>
      <c r="X29" s="2058"/>
      <c r="Y29" s="2058"/>
      <c r="Z29" s="2058"/>
      <c r="AA29" s="2058"/>
      <c r="AB29" s="2058"/>
      <c r="AC29" s="2058"/>
      <c r="AD29" s="2058"/>
      <c r="AE29" s="2058"/>
      <c r="AF29" s="2058"/>
      <c r="AG29" s="2058"/>
    </row>
    <row r="30" spans="1:33" ht="18" customHeight="1" thickTop="1">
      <c r="A30" s="1824" t="s">
        <v>1887</v>
      </c>
      <c r="B30" s="1822" t="s">
        <v>1784</v>
      </c>
      <c r="C30" s="788">
        <f ca="1">ROUND(C31+C36+C37+C38,0)</f>
        <v>1120</v>
      </c>
      <c r="D30" s="1816" t="s">
        <v>1785</v>
      </c>
      <c r="E30" s="3181"/>
      <c r="F30" s="2510"/>
      <c r="G30" s="2057"/>
      <c r="H30" s="2060"/>
      <c r="I30" s="2061"/>
      <c r="J30" s="2062"/>
      <c r="K30" s="2063"/>
      <c r="L30" s="2064"/>
      <c r="M30" s="2065"/>
    </row>
    <row r="31" spans="1:33" ht="18" customHeight="1">
      <c r="A31" s="1644" t="s">
        <v>1818</v>
      </c>
      <c r="B31" s="780" t="s">
        <v>650</v>
      </c>
      <c r="C31" s="53">
        <f ca="1">ROUND(IF(项目基本情况!B11="自然人",C5*F31,C32+C33+C34),1)</f>
        <v>609.4</v>
      </c>
      <c r="D31" s="3179" t="s">
        <v>1786</v>
      </c>
      <c r="E31" s="3177" t="s">
        <v>1787</v>
      </c>
      <c r="F31" s="806" t="str">
        <f ca="1">IF(项目基本情况!B11="企业","",IF(INDIRECT("'数据-取费表'!c"&amp;$G$1)="住宅",5%,IF(F6*F7*F8/12/(1+'数据-取费表'!C42)&gt;20000,12%,7%)))</f>
        <v/>
      </c>
      <c r="G31" s="2057"/>
      <c r="H31" s="2060"/>
      <c r="I31" s="2061"/>
      <c r="J31" s="2062"/>
      <c r="K31" s="2063"/>
      <c r="L31" s="2064"/>
      <c r="M31" s="2065"/>
    </row>
    <row r="32" spans="1:33" ht="18" customHeight="1">
      <c r="A32" s="1643" t="s">
        <v>1825</v>
      </c>
      <c r="B32" s="780" t="s">
        <v>1788</v>
      </c>
      <c r="C32" s="53">
        <f ca="1">ROUND(C5*F32/1.05,1)</f>
        <v>339.8</v>
      </c>
      <c r="D32" s="3177" t="s">
        <v>1789</v>
      </c>
      <c r="E32" s="780" t="s">
        <v>1790</v>
      </c>
      <c r="F32" s="805">
        <f>'数据-取费表'!B41</f>
        <v>5.6000000000000001E-2</v>
      </c>
      <c r="G32" s="2057"/>
      <c r="H32" s="2066"/>
      <c r="I32" s="2067"/>
      <c r="J32" s="2068"/>
      <c r="K32" s="2069"/>
      <c r="L32" s="2070"/>
      <c r="M32" s="2071"/>
    </row>
    <row r="33" spans="1:18" ht="18" customHeight="1">
      <c r="A33" s="1643" t="s">
        <v>1826</v>
      </c>
      <c r="B33" s="780" t="s">
        <v>1791</v>
      </c>
      <c r="C33" s="53">
        <f ca="1">IF(D33="按租金收入计税",ROUND(C5*F33,1),IF(D33="按房产原值计税",ROUND(C29*F33*0.7,1),INDIRECT("'数据-取费表'!Aj"&amp;$G$1)))</f>
        <v>227.6</v>
      </c>
      <c r="D33" s="807" t="s">
        <v>1674</v>
      </c>
      <c r="E33" s="780" t="s">
        <v>1790</v>
      </c>
      <c r="F33" s="805">
        <f>IF(D33="按租金收入计税",'数据-取费表'!B51,'数据-取费表'!B50)</f>
        <v>1.2E-2</v>
      </c>
      <c r="G33" s="2057"/>
      <c r="H33" s="2072"/>
      <c r="I33" s="2072"/>
      <c r="J33" s="2072"/>
      <c r="K33" s="2073"/>
      <c r="L33" s="2072"/>
      <c r="M33" s="2072"/>
    </row>
    <row r="34" spans="1:18" ht="18" customHeight="1">
      <c r="A34" s="1646" t="s">
        <v>1827</v>
      </c>
      <c r="B34" s="339" t="s">
        <v>1792</v>
      </c>
      <c r="C34" s="54">
        <f ca="1">ROUND(F34*F35/10000,1)</f>
        <v>42</v>
      </c>
      <c r="D34" s="810" t="s">
        <v>1793</v>
      </c>
      <c r="E34" s="780" t="s">
        <v>1794</v>
      </c>
      <c r="F34" s="636">
        <f>'数据-取费表'!B52</f>
        <v>20</v>
      </c>
      <c r="G34" s="2057"/>
      <c r="H34" s="2060"/>
      <c r="I34" s="831" t="s">
        <v>1807</v>
      </c>
      <c r="J34" s="832"/>
      <c r="K34" s="2075"/>
      <c r="L34" s="2074"/>
      <c r="M34" s="2074"/>
    </row>
    <row r="35" spans="1:18" ht="18" customHeight="1">
      <c r="A35" s="811"/>
      <c r="B35" s="789"/>
      <c r="C35" s="69"/>
      <c r="D35" s="812"/>
      <c r="E35" s="780" t="s">
        <v>1795</v>
      </c>
      <c r="F35" s="781">
        <f ca="1">INDIRECT("'数据-取费表'!r"&amp;$G$1)</f>
        <v>20986.46</v>
      </c>
      <c r="G35" s="2057"/>
      <c r="H35" s="2060"/>
      <c r="I35" s="833" t="s">
        <v>1808</v>
      </c>
      <c r="J35" s="834">
        <f ca="1">ROUND(C13*J36,0)</f>
        <v>2168</v>
      </c>
      <c r="K35" s="2073"/>
      <c r="L35" s="2072"/>
      <c r="M35" s="2072"/>
    </row>
    <row r="36" spans="1:18" ht="18" customHeight="1">
      <c r="A36" s="1644" t="s">
        <v>1883</v>
      </c>
      <c r="B36" s="780" t="s">
        <v>1796</v>
      </c>
      <c r="C36" s="53">
        <f ca="1">ROUND(C29*F36,1)</f>
        <v>406.5</v>
      </c>
      <c r="D36" s="3177" t="s">
        <v>1797</v>
      </c>
      <c r="E36" s="780" t="s">
        <v>1790</v>
      </c>
      <c r="F36" s="813">
        <f ca="1">INDIRECT("'数据-取费表'!Ak"&amp;$G$1)</f>
        <v>1.4999999999999999E-2</v>
      </c>
      <c r="G36" s="2057"/>
      <c r="H36" s="2072"/>
      <c r="I36" s="835" t="s">
        <v>1809</v>
      </c>
      <c r="J36" s="836">
        <f ca="1">INDIRECT("'数据-取费表'!j"&amp;$G$1)</f>
        <v>0.08</v>
      </c>
      <c r="K36" s="2077"/>
      <c r="L36" s="2072"/>
      <c r="M36" s="2072"/>
    </row>
    <row r="37" spans="1:18" ht="18" customHeight="1">
      <c r="A37" s="1644" t="s">
        <v>1884</v>
      </c>
      <c r="B37" s="780" t="s">
        <v>673</v>
      </c>
      <c r="C37" s="53">
        <f ca="1">ROUND(C13*F37,1)</f>
        <v>40.6</v>
      </c>
      <c r="D37" s="3177" t="s">
        <v>1798</v>
      </c>
      <c r="E37" s="780" t="s">
        <v>1790</v>
      </c>
      <c r="F37" s="814">
        <f ca="1">INDIRECT("'数据-取费表'!Al"&amp;$G$1)</f>
        <v>1.5E-3</v>
      </c>
      <c r="G37" s="2057"/>
      <c r="H37" s="2072"/>
      <c r="I37" s="837" t="s">
        <v>1810</v>
      </c>
      <c r="J37" s="838"/>
      <c r="K37" s="2077"/>
      <c r="L37" s="2072"/>
      <c r="M37" s="2072"/>
    </row>
    <row r="38" spans="1:18" ht="18" customHeight="1" thickBot="1">
      <c r="A38" s="2570" t="s">
        <v>1885</v>
      </c>
      <c r="B38" s="2565" t="s">
        <v>660</v>
      </c>
      <c r="C38" s="2563">
        <f ca="1">ROUND(C5*F38,1)</f>
        <v>63.7</v>
      </c>
      <c r="D38" s="2564" t="s">
        <v>1799</v>
      </c>
      <c r="E38" s="2565" t="s">
        <v>1790</v>
      </c>
      <c r="F38" s="2561">
        <f ca="1">INDIRECT("'数据-取费表'!Am"&amp;$G$1)</f>
        <v>0.01</v>
      </c>
      <c r="G38" s="2057"/>
      <c r="H38" s="2072"/>
      <c r="I38" s="839" t="s">
        <v>1811</v>
      </c>
      <c r="J38" s="840"/>
      <c r="K38" s="2078"/>
      <c r="L38" s="2072"/>
      <c r="M38" s="2072"/>
    </row>
    <row r="39" spans="1:18" ht="24.6" customHeight="1" thickTop="1">
      <c r="A39" s="1824" t="s">
        <v>1888</v>
      </c>
      <c r="B39" s="3031" t="s">
        <v>2821</v>
      </c>
      <c r="C39" s="788">
        <f ca="1">C5-C30</f>
        <v>5251</v>
      </c>
      <c r="D39" s="2567" t="s">
        <v>1800</v>
      </c>
      <c r="E39" s="2568"/>
      <c r="F39" s="2569"/>
      <c r="G39" s="2057"/>
      <c r="H39" s="2072"/>
      <c r="I39" s="833" t="s">
        <v>1812</v>
      </c>
      <c r="J39" s="841">
        <f ca="1">ROUND(J35/C39,3)</f>
        <v>0.41299999999999998</v>
      </c>
      <c r="K39" s="2078"/>
      <c r="L39" s="2072"/>
      <c r="M39" s="2072"/>
    </row>
    <row r="40" spans="1:18" ht="18" customHeight="1">
      <c r="A40" s="777" t="s">
        <v>1889</v>
      </c>
      <c r="B40" s="2227" t="s">
        <v>2296</v>
      </c>
      <c r="C40" s="779">
        <f ca="1">ROUND(C39*(1-((1+F42)/(1+F40))^F41)/(F40-F42),0)</f>
        <v>121741</v>
      </c>
      <c r="D40" s="810" t="s">
        <v>1801</v>
      </c>
      <c r="E40" s="780" t="s">
        <v>2414</v>
      </c>
      <c r="F40" s="790">
        <f ca="1">INDIRECT("'数据-取费表'!I"&amp;$G$1)</f>
        <v>0.06</v>
      </c>
      <c r="G40" s="2057"/>
      <c r="H40" s="2057"/>
      <c r="I40" s="833" t="s">
        <v>1813</v>
      </c>
      <c r="J40" s="841">
        <f ca="1">1-J39</f>
        <v>0.58699999999999997</v>
      </c>
      <c r="K40" s="2078"/>
      <c r="L40" s="2057"/>
      <c r="M40" s="2057"/>
    </row>
    <row r="41" spans="1:18" ht="18" customHeight="1">
      <c r="A41" s="782"/>
      <c r="B41" s="783"/>
      <c r="C41" s="784"/>
      <c r="D41" s="817" t="s">
        <v>1802</v>
      </c>
      <c r="E41" s="780" t="s">
        <v>2961</v>
      </c>
      <c r="F41" s="818">
        <f ca="1">IF(INDIRECT("'数据-取费表'!af"&amp;$G$1)=0,INDIRECT("'数据-取费表'!ae"&amp;$G$1),INDIRECT("'数据-取费表'!af"&amp;$G$1))</f>
        <v>49.69</v>
      </c>
      <c r="G41" s="2057"/>
      <c r="H41" s="1983"/>
      <c r="I41" s="839" t="s">
        <v>1814</v>
      </c>
      <c r="J41" s="842"/>
      <c r="K41" s="2077"/>
      <c r="L41" s="1983"/>
      <c r="M41" s="1983"/>
    </row>
    <row r="42" spans="1:18" ht="18" customHeight="1">
      <c r="A42" s="786"/>
      <c r="B42" s="787"/>
      <c r="C42" s="788"/>
      <c r="D42" s="812"/>
      <c r="E42" s="780" t="s">
        <v>1803</v>
      </c>
      <c r="F42" s="790">
        <f ca="1">INDIRECT("'数据-取费表'!v"&amp;$G$1)</f>
        <v>2.5000000000000001E-2</v>
      </c>
      <c r="G42" s="2057"/>
      <c r="H42" s="1983"/>
      <c r="I42" s="843" t="s">
        <v>1815</v>
      </c>
      <c r="J42" s="841">
        <f ca="1">ROUND(C13/C40,3)</f>
        <v>0.223</v>
      </c>
      <c r="K42" s="2077"/>
      <c r="L42" s="1983"/>
      <c r="M42" s="1983"/>
    </row>
    <row r="43" spans="1:18" ht="18" customHeight="1" thickBot="1">
      <c r="A43" s="819" t="s">
        <v>1781</v>
      </c>
      <c r="B43" s="820" t="s">
        <v>1804</v>
      </c>
      <c r="C43" s="821">
        <f ca="1">ROUND(C40*10000/F43,0)</f>
        <v>18998</v>
      </c>
      <c r="D43" s="822" t="s">
        <v>1805</v>
      </c>
      <c r="E43" s="823" t="s">
        <v>1806</v>
      </c>
      <c r="F43" s="824">
        <f ca="1">INDIRECT("'数据-取费表'!k"&amp;$G$1)</f>
        <v>64080</v>
      </c>
      <c r="G43" s="2057"/>
      <c r="H43" s="1983"/>
      <c r="I43" s="843" t="s">
        <v>1816</v>
      </c>
      <c r="J43" s="844">
        <f ca="1">1-J42</f>
        <v>0.77700000000000002</v>
      </c>
      <c r="K43" s="2077"/>
      <c r="L43" s="1983"/>
      <c r="M43" s="1983"/>
    </row>
    <row r="44" spans="1:18" s="2054" customFormat="1" ht="18" customHeight="1">
      <c r="A44" s="2080"/>
      <c r="B44" s="2080"/>
      <c r="C44" s="2097"/>
      <c r="D44" s="2080"/>
      <c r="E44" s="2080"/>
      <c r="F44" s="2080"/>
      <c r="K44" s="2081"/>
      <c r="Q44" s="2092"/>
    </row>
    <row r="45" spans="1:18" s="2054" customFormat="1" ht="18" customHeight="1" thickBot="1">
      <c r="A45" s="2080"/>
      <c r="B45" s="2080"/>
      <c r="C45" s="2097"/>
      <c r="D45" s="2080"/>
      <c r="E45" s="2080"/>
      <c r="F45" s="2080"/>
      <c r="K45" s="2081"/>
      <c r="Q45" s="2092"/>
    </row>
    <row r="46" spans="1:18" s="2054" customFormat="1" ht="18" customHeight="1" thickBot="1">
      <c r="A46" s="2225" t="s">
        <v>2290</v>
      </c>
      <c r="B46" s="2080"/>
      <c r="C46" s="2593">
        <f ca="1">C67-C40</f>
        <v>-133030</v>
      </c>
      <c r="D46" s="2080"/>
      <c r="E46" s="2080"/>
      <c r="F46" s="2080"/>
      <c r="I46" s="2373" t="s">
        <v>2337</v>
      </c>
      <c r="J46" s="2374"/>
      <c r="K46" s="2375"/>
      <c r="L46" s="2376" t="str">
        <f ca="1">IF(M47="住宅",0,IF(L48&gt;J51,L60,J60))</f>
        <v>0</v>
      </c>
      <c r="O46" s="2413" t="s">
        <v>2405</v>
      </c>
      <c r="P46" s="1587"/>
      <c r="Q46" s="1599"/>
      <c r="R46" s="1587"/>
    </row>
    <row r="47" spans="1:18" s="2054" customFormat="1" ht="18" customHeight="1" thickBot="1">
      <c r="A47" s="2367">
        <v>1</v>
      </c>
      <c r="B47" s="2368" t="s">
        <v>629</v>
      </c>
      <c r="C47" s="2593">
        <f ca="1">C48+C52+C54</f>
        <v>0</v>
      </c>
      <c r="D47" s="2080"/>
      <c r="E47" s="2080"/>
      <c r="F47" s="2080"/>
      <c r="I47" s="2377" t="s">
        <v>2338</v>
      </c>
      <c r="J47" s="2382" t="s">
        <v>3005</v>
      </c>
      <c r="K47" s="2383" t="s">
        <v>2344</v>
      </c>
      <c r="L47" s="2384">
        <f ca="1">INDIRECT("'数据-取费表'!d"&amp;$G$1)</f>
        <v>50</v>
      </c>
      <c r="M47" s="1599" t="str">
        <f>IF(ISNUMBER(FIND("住宅",C1)),"住宅","非住宅")</f>
        <v>非住宅</v>
      </c>
      <c r="O47" s="2414" t="s">
        <v>2370</v>
      </c>
      <c r="P47" s="2415" t="s">
        <v>2371</v>
      </c>
      <c r="Q47" s="2416" t="s">
        <v>2372</v>
      </c>
      <c r="R47" s="2415" t="s">
        <v>2373</v>
      </c>
    </row>
    <row r="48" spans="1:18" s="2054" customFormat="1" ht="18" customHeight="1" thickBot="1">
      <c r="A48" s="2662" t="s">
        <v>2534</v>
      </c>
      <c r="B48" s="2663" t="s">
        <v>2535</v>
      </c>
      <c r="C48" s="2369">
        <f ca="1">ROUND(F48*F50*F49*(1-F51)/10000,0)</f>
        <v>0</v>
      </c>
      <c r="D48" s="2370" t="s">
        <v>630</v>
      </c>
      <c r="E48" s="2371" t="s">
        <v>2291</v>
      </c>
      <c r="F48" s="2372"/>
      <c r="G48" s="2085"/>
      <c r="I48" s="2378" t="s">
        <v>2339</v>
      </c>
      <c r="J48" s="2385" t="s">
        <v>2345</v>
      </c>
      <c r="K48" s="2386" t="s">
        <v>2346</v>
      </c>
      <c r="L48" s="2387">
        <f ca="1">INDIRECT("'数据-取费表'!f"&amp;$G$1)</f>
        <v>49.69</v>
      </c>
      <c r="O48" s="2417" t="s">
        <v>2374</v>
      </c>
      <c r="P48" s="2418" t="s">
        <v>2400</v>
      </c>
      <c r="Q48" s="2419">
        <f ca="1">C40+J29</f>
        <v>121741</v>
      </c>
      <c r="R48" s="2418" t="s">
        <v>2375</v>
      </c>
    </row>
    <row r="49" spans="1:18" s="2054" customFormat="1" ht="18" customHeight="1" thickBot="1">
      <c r="A49" s="782"/>
      <c r="B49" s="783"/>
      <c r="C49" s="784"/>
      <c r="D49" s="785"/>
      <c r="E49" s="780" t="s">
        <v>1733</v>
      </c>
      <c r="F49" s="781">
        <f ca="1">F7</f>
        <v>64080</v>
      </c>
      <c r="G49" s="2085"/>
      <c r="H49" s="2088"/>
      <c r="I49" s="2378" t="s">
        <v>2340</v>
      </c>
      <c r="J49" s="2388">
        <v>2019</v>
      </c>
      <c r="K49" s="2389" t="s">
        <v>2347</v>
      </c>
      <c r="L49" s="2390"/>
      <c r="O49" s="2417" t="s">
        <v>2376</v>
      </c>
      <c r="P49" s="2418" t="s">
        <v>2401</v>
      </c>
      <c r="Q49" s="2419" t="str">
        <f ca="1">J60</f>
        <v>0</v>
      </c>
      <c r="R49" s="2418" t="s">
        <v>2377</v>
      </c>
    </row>
    <row r="50" spans="1:18" s="2054" customFormat="1" ht="18" customHeight="1" thickBot="1">
      <c r="A50" s="782"/>
      <c r="B50" s="783"/>
      <c r="C50" s="784"/>
      <c r="D50" s="785"/>
      <c r="E50" s="780" t="s">
        <v>1734</v>
      </c>
      <c r="F50" s="781">
        <f ca="1">F8</f>
        <v>365</v>
      </c>
      <c r="G50" s="2090"/>
      <c r="H50" s="2088"/>
      <c r="I50" s="2378" t="s">
        <v>2341</v>
      </c>
      <c r="J50" s="2391">
        <f>SUMPRODUCT((I63:I65=J47)*(J62:L62=J48)*(J63:L65))</f>
        <v>60</v>
      </c>
      <c r="K50" s="2389" t="s">
        <v>2348</v>
      </c>
      <c r="L50" s="2390"/>
      <c r="O50" s="2420" t="s">
        <v>2378</v>
      </c>
      <c r="P50" s="2418" t="s">
        <v>2402</v>
      </c>
      <c r="Q50" s="2419">
        <f ca="1">C29</f>
        <v>27097</v>
      </c>
      <c r="R50" s="2418" t="s">
        <v>2375</v>
      </c>
    </row>
    <row r="51" spans="1:18" s="2054" customFormat="1" ht="18" customHeight="1" thickBot="1">
      <c r="A51" s="782"/>
      <c r="B51" s="783"/>
      <c r="C51" s="784"/>
      <c r="D51" s="785"/>
      <c r="E51" s="780" t="s">
        <v>634</v>
      </c>
      <c r="F51" s="2366"/>
      <c r="H51" s="2088"/>
      <c r="I51" s="2379" t="s">
        <v>2342</v>
      </c>
      <c r="J51" s="2392">
        <f>IF(J49="",J50,J49+J50-YEAR('数据-取费表'!B2))</f>
        <v>62</v>
      </c>
      <c r="K51" s="2378" t="s">
        <v>2349</v>
      </c>
      <c r="L51" s="2393">
        <f ca="1">ROUND(-PV(INDIRECT("'数据-取费表'!h"&amp;$G$1),L48,(C39-C13*J36),0),0)</f>
        <v>52139</v>
      </c>
      <c r="O51" s="2420" t="s">
        <v>2379</v>
      </c>
      <c r="P51" s="2418" t="s">
        <v>2380</v>
      </c>
      <c r="Q51" s="2421" t="e">
        <f ca="1">J58</f>
        <v>#VALUE!</v>
      </c>
      <c r="R51" s="2422"/>
    </row>
    <row r="52" spans="1:18" s="2054" customFormat="1" ht="18" customHeight="1" thickBot="1">
      <c r="A52" s="777" t="s">
        <v>2533</v>
      </c>
      <c r="B52" s="2513" t="s">
        <v>2455</v>
      </c>
      <c r="C52" s="795">
        <f ca="1">ROUND(IF(F52="押一",F48*F50*F49/12*F11,IF(F52="押二",F48*F50*F49/12*2*F11,IF(F52="押三",F48*F50*F49/12*3*F11,C53*F11)))/10000,0)</f>
        <v>0</v>
      </c>
      <c r="D52" s="2520" t="s">
        <v>2462</v>
      </c>
      <c r="E52" s="2517" t="s">
        <v>2460</v>
      </c>
      <c r="F52" s="2640"/>
      <c r="I52" s="2380" t="s">
        <v>2416</v>
      </c>
      <c r="J52" s="2394">
        <v>0.08</v>
      </c>
      <c r="K52" s="2380" t="s">
        <v>2415</v>
      </c>
      <c r="L52" s="2394"/>
      <c r="O52" s="2420" t="s">
        <v>2381</v>
      </c>
      <c r="P52" s="2418" t="s">
        <v>2382</v>
      </c>
      <c r="Q52" s="2421">
        <f>J52</f>
        <v>0.08</v>
      </c>
      <c r="R52" s="2422"/>
    </row>
    <row r="53" spans="1:18" s="2054" customFormat="1" ht="39.75" customHeight="1" thickBot="1">
      <c r="A53" s="782"/>
      <c r="B53" s="2514" t="s">
        <v>2570</v>
      </c>
      <c r="C53" s="2518"/>
      <c r="D53" s="2520"/>
      <c r="E53" s="2517"/>
      <c r="F53" s="796"/>
      <c r="I53" s="2381" t="s">
        <v>2343</v>
      </c>
      <c r="J53" s="2395">
        <f ca="1">IF(M47="住宅",J51,IF(D1="——",MIN(J51,L48),IF(D1="土地（套用方法）",MIN(J51,L48-'数据-取费表'!B20))))</f>
        <v>49.69</v>
      </c>
      <c r="K53" s="3544" t="s">
        <v>2963</v>
      </c>
      <c r="L53" s="3545"/>
      <c r="O53" s="2420" t="s">
        <v>2383</v>
      </c>
      <c r="P53" s="2418" t="s">
        <v>2384</v>
      </c>
      <c r="Q53" s="2419">
        <f ca="1">J53</f>
        <v>49.69</v>
      </c>
      <c r="R53" s="2418" t="s">
        <v>2385</v>
      </c>
    </row>
    <row r="54" spans="1:18" s="2054" customFormat="1" ht="18" customHeight="1" thickBot="1">
      <c r="A54" s="2556" t="s">
        <v>2464</v>
      </c>
      <c r="B54" s="2557" t="s">
        <v>2456</v>
      </c>
      <c r="C54" s="2558"/>
      <c r="D54" s="2520"/>
      <c r="E54" s="2517"/>
      <c r="F54" s="796"/>
      <c r="I54" s="20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1"/>
      <c r="O54" s="2417" t="s">
        <v>2386</v>
      </c>
      <c r="P54" s="2418" t="s">
        <v>2403</v>
      </c>
      <c r="Q54" s="2419">
        <f ca="1">Q48+Q49</f>
        <v>121741</v>
      </c>
      <c r="R54" s="2422" t="s">
        <v>2387</v>
      </c>
    </row>
    <row r="55" spans="1:18" s="2054" customFormat="1" ht="18" customHeight="1" thickTop="1" thickBot="1">
      <c r="A55" s="793">
        <v>2</v>
      </c>
      <c r="B55" s="794" t="s">
        <v>638</v>
      </c>
      <c r="C55" s="795">
        <f ca="1">C13</f>
        <v>27097</v>
      </c>
      <c r="D55" s="791"/>
      <c r="E55" s="791"/>
      <c r="F55" s="796"/>
      <c r="I55" s="3119" t="s">
        <v>2350</v>
      </c>
      <c r="J55" s="3118" t="e">
        <f ca="1">ROUND(IF(J47="钢混",J57/J50,1-(1-2%)*(J50-J57)/J50),3)</f>
        <v>#VALUE!</v>
      </c>
      <c r="K55" s="2396" t="s">
        <v>2351</v>
      </c>
      <c r="L55" s="2397"/>
      <c r="O55" s="2423" t="s">
        <v>2406</v>
      </c>
      <c r="P55" s="1587"/>
      <c r="Q55" s="1599"/>
      <c r="R55" s="1587"/>
    </row>
    <row r="56" spans="1:18" s="2054" customFormat="1" ht="42.75" customHeight="1" thickBot="1">
      <c r="A56" s="1645"/>
      <c r="B56" s="2226" t="s">
        <v>2297</v>
      </c>
      <c r="C56" s="53">
        <f ca="1">C29</f>
        <v>27097</v>
      </c>
      <c r="D56" s="3177"/>
      <c r="E56" s="780"/>
      <c r="F56" s="805"/>
      <c r="I56" s="2398" t="s">
        <v>2352</v>
      </c>
      <c r="J56" s="3142" t="s">
        <v>1672</v>
      </c>
      <c r="K56" s="2378" t="s">
        <v>2357</v>
      </c>
      <c r="L56" s="2387" t="str">
        <f ca="1">IF(L48&lt;J51,"——",L48-J51)</f>
        <v>——</v>
      </c>
      <c r="O56" s="2414" t="s">
        <v>2370</v>
      </c>
      <c r="P56" s="2415" t="s">
        <v>2371</v>
      </c>
      <c r="Q56" s="2416" t="s">
        <v>2372</v>
      </c>
      <c r="R56" s="2415" t="s">
        <v>2373</v>
      </c>
    </row>
    <row r="57" spans="1:18" s="2054" customFormat="1" ht="28.5" customHeight="1" thickBot="1">
      <c r="A57" s="793" t="s">
        <v>1742</v>
      </c>
      <c r="B57" s="794" t="s">
        <v>645</v>
      </c>
      <c r="C57" s="795">
        <f ca="1">ROUND(C58+C63+C64+C65,0)</f>
        <v>717</v>
      </c>
      <c r="D57" s="26" t="s">
        <v>1744</v>
      </c>
      <c r="E57" s="3187"/>
      <c r="F57" s="56"/>
      <c r="I57" s="2399" t="s">
        <v>2353</v>
      </c>
      <c r="J57" s="2401" t="str">
        <f ca="1">IF(OR(M47="住宅",J51&lt;L48,J56="是"),"——",J51-L48)</f>
        <v>——</v>
      </c>
      <c r="K57" s="2378" t="s">
        <v>2358</v>
      </c>
      <c r="L57" s="2387" t="str">
        <f ca="1">IF(L48&lt;J51,"——",IF(L55="比较法",L49,IF(L55="基准地价",L50,L51)))</f>
        <v>——</v>
      </c>
      <c r="O57" s="2417" t="s">
        <v>2374</v>
      </c>
      <c r="P57" s="2418" t="s">
        <v>2404</v>
      </c>
      <c r="Q57" s="2419">
        <f ca="1">C40+J29</f>
        <v>121741</v>
      </c>
      <c r="R57" s="2418" t="s">
        <v>2375</v>
      </c>
    </row>
    <row r="58" spans="1:18" s="2054" customFormat="1" ht="28.5" customHeight="1" thickBot="1">
      <c r="A58" s="1644" t="s">
        <v>1818</v>
      </c>
      <c r="B58" s="780" t="s">
        <v>650</v>
      </c>
      <c r="C58" s="53">
        <f ca="1">ROUND(IF(项目基本情况!B11="自然人",C47*F58,C59+C60+C61),1)</f>
        <v>269.60000000000002</v>
      </c>
      <c r="D58" s="3179" t="s">
        <v>651</v>
      </c>
      <c r="E58" s="3177" t="s">
        <v>684</v>
      </c>
      <c r="F58" s="806" t="str">
        <f ca="1">IF(项目基本情况!B11="企业","",IF(INDIRECT("'数据-取费表'!c"&amp;$G$1)="住宅",5%,IF(F48*F49*F50/12/(1+'数据-取费表'!C42)&gt;20000,12%,7%)))</f>
        <v/>
      </c>
      <c r="I58" s="2399" t="s">
        <v>2354</v>
      </c>
      <c r="J58" s="3120" t="e">
        <f ca="1">IF(J55&lt;0.4,0.4,J55)</f>
        <v>#VALUE!</v>
      </c>
      <c r="K58" s="2378" t="s">
        <v>2359</v>
      </c>
      <c r="L58" s="2387" t="e">
        <f ca="1">ROUND(POWER(1+L52,L47-L48)*(POWER(1+L52,L48)-1)/(POWER(1+L52,L47)-1),4)</f>
        <v>#DIV/0!</v>
      </c>
      <c r="O58" s="2417" t="s">
        <v>2376</v>
      </c>
      <c r="P58" s="2418" t="s">
        <v>2407</v>
      </c>
      <c r="Q58" s="2419">
        <f ca="1">L60</f>
        <v>0</v>
      </c>
      <c r="R58" s="2422" t="s">
        <v>2409</v>
      </c>
    </row>
    <row r="59" spans="1:18" s="2054" customFormat="1" ht="28.5" customHeight="1" thickBot="1">
      <c r="A59" s="1643" t="s">
        <v>1825</v>
      </c>
      <c r="B59" s="780" t="s">
        <v>654</v>
      </c>
      <c r="C59" s="53">
        <f ca="1">ROUND(C47*F59/1.05,1)</f>
        <v>0</v>
      </c>
      <c r="D59" s="3177" t="s">
        <v>1750</v>
      </c>
      <c r="E59" s="780" t="s">
        <v>1741</v>
      </c>
      <c r="F59" s="805">
        <f t="shared" ref="F59:F65" si="0">F32</f>
        <v>5.6000000000000001E-2</v>
      </c>
      <c r="I59" s="2399" t="s">
        <v>2355</v>
      </c>
      <c r="J59" s="2401" t="str">
        <f ca="1">IF(OR(M47="住宅",J51&lt;L48,J56="是"),"——",ROUND(C29*J58,0))</f>
        <v>——</v>
      </c>
      <c r="K59" s="3149" t="str">
        <f>IF(D1="——","建筑物剩余耐用年限下的土地年期修正系数Kn","建设期及建筑物耐用年限下的土地年期修正系数Kn")</f>
        <v>建筑物剩余耐用年限下的土地年期修正系数Kn</v>
      </c>
      <c r="L59" s="2387" t="e">
        <f ca="1">ROUND(IF(D1="土地（套用方法）",POWER(1+L52,L47-(J51+'数据-取费表'!B20))*(POWER(1+L52,(J51+'数据-取费表'!B20))-1)/(POWER(1+L52,L47)-1),POWER(1+L52,L47-J51)*(POWER(1+L52,J51)-1)/(POWER(1+L52,L47)-1)),4)</f>
        <v>#DIV/0!</v>
      </c>
      <c r="O59" s="2420" t="s">
        <v>2378</v>
      </c>
      <c r="P59" s="2418" t="s">
        <v>2408</v>
      </c>
      <c r="Q59" s="2419">
        <f>IF(L55="比较法",L49,IF(L55="基准地价",L50,0))</f>
        <v>0</v>
      </c>
      <c r="R59" s="2418" t="s">
        <v>2375</v>
      </c>
    </row>
    <row r="60" spans="1:18" s="2054" customFormat="1" ht="18" customHeight="1" thickBot="1">
      <c r="A60" s="1643" t="s">
        <v>1826</v>
      </c>
      <c r="B60" s="780" t="s">
        <v>1752</v>
      </c>
      <c r="C60" s="53">
        <f ca="1">IF(D60="按租金收入计税",ROUND(C47*F60,1),IF(D60="按房产原值计税",ROUND(C56*F60*0.7,1),INDIRECT("'数据-取费表'!Aj"&amp;$G$1)))</f>
        <v>227.6</v>
      </c>
      <c r="D60" s="3177" t="str">
        <f>D33</f>
        <v>按房产原值计税</v>
      </c>
      <c r="E60" s="780" t="s">
        <v>1741</v>
      </c>
      <c r="F60" s="805">
        <f t="shared" si="0"/>
        <v>1.2E-2</v>
      </c>
      <c r="I60" s="2400" t="s">
        <v>2356</v>
      </c>
      <c r="J60" s="2402" t="str">
        <f ca="1">IF(OR(M47="住宅",J51&lt;L48,J56="是"),"0",ROUND(J59/(1+J52)^J53,0))</f>
        <v>0</v>
      </c>
      <c r="K60" s="2403" t="s">
        <v>2361</v>
      </c>
      <c r="L60" s="2402">
        <f ca="1">IF(OR(M47="住宅",L48&lt;J51),0,ROUND(L57*(L58/L59-1),0))</f>
        <v>0</v>
      </c>
      <c r="O60" s="2420" t="s">
        <v>2379</v>
      </c>
      <c r="P60" s="2418" t="s">
        <v>2388</v>
      </c>
      <c r="Q60" s="2421">
        <f>L52</f>
        <v>0</v>
      </c>
      <c r="R60" s="2422"/>
    </row>
    <row r="61" spans="1:18" s="2054" customFormat="1" ht="18" customHeight="1" thickBot="1">
      <c r="A61" s="1646" t="s">
        <v>1827</v>
      </c>
      <c r="B61" s="339" t="s">
        <v>662</v>
      </c>
      <c r="C61" s="54">
        <f ca="1">ROUND(F61*F62/10000,1)</f>
        <v>42</v>
      </c>
      <c r="D61" s="810" t="s">
        <v>663</v>
      </c>
      <c r="E61" s="780" t="s">
        <v>664</v>
      </c>
      <c r="F61" s="636">
        <f t="shared" si="0"/>
        <v>20</v>
      </c>
      <c r="K61" s="2081"/>
      <c r="O61" s="2420" t="s">
        <v>2381</v>
      </c>
      <c r="P61" s="2418" t="s">
        <v>2389</v>
      </c>
      <c r="Q61" s="2419" t="e">
        <f ca="1">L58</f>
        <v>#DIV/0!</v>
      </c>
      <c r="R61" s="2422" t="s">
        <v>2390</v>
      </c>
    </row>
    <row r="62" spans="1:18" s="2054" customFormat="1" ht="15.75" thickBot="1">
      <c r="A62" s="811"/>
      <c r="B62" s="789"/>
      <c r="C62" s="69"/>
      <c r="D62" s="812"/>
      <c r="E62" s="780" t="s">
        <v>668</v>
      </c>
      <c r="F62" s="781">
        <f t="shared" ca="1" si="0"/>
        <v>20986.46</v>
      </c>
      <c r="I62" s="2404" t="s">
        <v>2362</v>
      </c>
      <c r="J62" s="2405" t="s">
        <v>2363</v>
      </c>
      <c r="K62" s="2405" t="s">
        <v>2364</v>
      </c>
      <c r="L62" s="2405" t="s">
        <v>2345</v>
      </c>
      <c r="M62" s="3121" t="s">
        <v>2938</v>
      </c>
      <c r="O62" s="2420" t="s">
        <v>2383</v>
      </c>
      <c r="P62" s="2418" t="str">
        <f>K59</f>
        <v>建筑物剩余耐用年限下的土地年期修正系数Kn</v>
      </c>
      <c r="Q62" s="2419" t="e">
        <f ca="1">L59</f>
        <v>#DIV/0!</v>
      </c>
      <c r="R62" s="2422" t="s">
        <v>2392</v>
      </c>
    </row>
    <row r="63" spans="1:18" s="2054" customFormat="1" ht="15.75" thickBot="1">
      <c r="A63" s="1644" t="s">
        <v>1883</v>
      </c>
      <c r="B63" s="780" t="s">
        <v>670</v>
      </c>
      <c r="C63" s="53">
        <f ca="1">ROUND(C56*F63,1)</f>
        <v>406.5</v>
      </c>
      <c r="D63" s="3177" t="s">
        <v>1797</v>
      </c>
      <c r="E63" s="780" t="s">
        <v>1741</v>
      </c>
      <c r="F63" s="813">
        <f t="shared" ca="1" si="0"/>
        <v>1.4999999999999999E-2</v>
      </c>
      <c r="I63" s="2404" t="s">
        <v>2365</v>
      </c>
      <c r="J63" s="2405">
        <v>70</v>
      </c>
      <c r="K63" s="2405">
        <v>50</v>
      </c>
      <c r="L63" s="2405">
        <v>80</v>
      </c>
      <c r="M63" s="3122">
        <v>0.02</v>
      </c>
      <c r="O63" s="2417" t="s">
        <v>2386</v>
      </c>
      <c r="P63" s="2418" t="s">
        <v>2403</v>
      </c>
      <c r="Q63" s="2419">
        <f ca="1">Q57+Q58</f>
        <v>121741</v>
      </c>
      <c r="R63" s="2422" t="s">
        <v>2387</v>
      </c>
    </row>
    <row r="64" spans="1:18" s="2054" customFormat="1" ht="16.5" thickBot="1">
      <c r="A64" s="1644" t="s">
        <v>1884</v>
      </c>
      <c r="B64" s="780" t="s">
        <v>673</v>
      </c>
      <c r="C64" s="53">
        <f ca="1">ROUND(C55*F64,1)</f>
        <v>40.6</v>
      </c>
      <c r="D64" s="3177" t="s">
        <v>674</v>
      </c>
      <c r="E64" s="780" t="s">
        <v>1741</v>
      </c>
      <c r="F64" s="814">
        <f t="shared" ca="1" si="0"/>
        <v>1.5E-3</v>
      </c>
      <c r="I64" s="2404" t="s">
        <v>2366</v>
      </c>
      <c r="J64" s="2405">
        <v>50</v>
      </c>
      <c r="K64" s="2405">
        <v>35</v>
      </c>
      <c r="L64" s="2405">
        <v>60</v>
      </c>
      <c r="M64" s="3123">
        <v>0</v>
      </c>
      <c r="O64" s="2423" t="s">
        <v>2410</v>
      </c>
      <c r="P64" s="1587"/>
      <c r="Q64" s="1599"/>
      <c r="R64" s="1587"/>
    </row>
    <row r="65" spans="1:18" s="2054" customFormat="1" ht="15.75" thickBot="1">
      <c r="A65" s="1644" t="s">
        <v>1885</v>
      </c>
      <c r="B65" s="780" t="s">
        <v>660</v>
      </c>
      <c r="C65" s="53">
        <f ca="1">ROUND(C47*F65,1)</f>
        <v>0</v>
      </c>
      <c r="D65" s="3177" t="s">
        <v>677</v>
      </c>
      <c r="E65" s="780" t="s">
        <v>1741</v>
      </c>
      <c r="F65" s="790">
        <f t="shared" ca="1" si="0"/>
        <v>0.01</v>
      </c>
      <c r="I65" s="2404" t="s">
        <v>2367</v>
      </c>
      <c r="J65" s="2405">
        <v>40</v>
      </c>
      <c r="K65" s="2405">
        <v>30</v>
      </c>
      <c r="L65" s="2405">
        <v>50</v>
      </c>
      <c r="M65" s="3122">
        <v>0.02</v>
      </c>
      <c r="O65" s="2414" t="s">
        <v>2370</v>
      </c>
      <c r="P65" s="2415" t="s">
        <v>2371</v>
      </c>
      <c r="Q65" s="2416" t="s">
        <v>2372</v>
      </c>
      <c r="R65" s="2415" t="s">
        <v>2373</v>
      </c>
    </row>
    <row r="66" spans="1:18" s="2054" customFormat="1" ht="24.75" thickBot="1">
      <c r="A66" s="793" t="s">
        <v>1770</v>
      </c>
      <c r="B66" s="3032" t="s">
        <v>2821</v>
      </c>
      <c r="C66" s="795">
        <f ca="1">C47-C57</f>
        <v>-717</v>
      </c>
      <c r="D66" s="3179" t="s">
        <v>694</v>
      </c>
      <c r="E66" s="3182"/>
      <c r="F66" s="816"/>
      <c r="K66" s="2081"/>
      <c r="O66" s="2417" t="s">
        <v>2374</v>
      </c>
      <c r="P66" s="2418" t="s">
        <v>2404</v>
      </c>
      <c r="Q66" s="2419">
        <f ca="1">C40+J29</f>
        <v>121741</v>
      </c>
      <c r="R66" s="2418" t="s">
        <v>2375</v>
      </c>
    </row>
    <row r="67" spans="1:18" s="2054" customFormat="1" ht="20.25" thickBot="1">
      <c r="A67" s="777" t="s">
        <v>1774</v>
      </c>
      <c r="B67" s="2227" t="s">
        <v>2296</v>
      </c>
      <c r="C67" s="779">
        <f ca="1">ROUND(C66*(1-((1+F69)/(1+F67))^F68)/(F67-F69),0)</f>
        <v>-11289</v>
      </c>
      <c r="D67" s="810" t="s">
        <v>698</v>
      </c>
      <c r="E67" s="780" t="s">
        <v>699</v>
      </c>
      <c r="F67" s="790">
        <f ca="1">F40</f>
        <v>0.06</v>
      </c>
      <c r="K67" s="2081"/>
      <c r="O67" s="2417" t="s">
        <v>2376</v>
      </c>
      <c r="P67" s="2418" t="s">
        <v>2407</v>
      </c>
      <c r="Q67" s="2419">
        <f ca="1">L60</f>
        <v>0</v>
      </c>
      <c r="R67" s="2422" t="s">
        <v>2409</v>
      </c>
    </row>
    <row r="68" spans="1:18" ht="21.75" thickBot="1">
      <c r="A68" s="782"/>
      <c r="B68" s="783"/>
      <c r="C68" s="784"/>
      <c r="D68" s="817" t="s">
        <v>1802</v>
      </c>
      <c r="E68" s="780" t="s">
        <v>1778</v>
      </c>
      <c r="F68" s="818">
        <f ca="1">F41</f>
        <v>49.69</v>
      </c>
      <c r="O68" s="2420" t="s">
        <v>2378</v>
      </c>
      <c r="P68" s="2418" t="s">
        <v>2408</v>
      </c>
      <c r="Q68" s="2424">
        <f ca="1">L51</f>
        <v>52139</v>
      </c>
      <c r="R68" s="2425" t="s">
        <v>2411</v>
      </c>
    </row>
    <row r="69" spans="1:18" ht="20.25" thickBot="1">
      <c r="A69" s="786"/>
      <c r="B69" s="787"/>
      <c r="C69" s="788"/>
      <c r="D69" s="812"/>
      <c r="E69" s="780" t="s">
        <v>704</v>
      </c>
      <c r="F69" s="2366"/>
      <c r="O69" s="2420" t="s">
        <v>2379</v>
      </c>
      <c r="P69" s="2426" t="s">
        <v>2393</v>
      </c>
      <c r="Q69" s="2419">
        <f ca="1">ROUND(Q70-Q71*Q72,0)</f>
        <v>3083</v>
      </c>
      <c r="R69" s="2422"/>
    </row>
    <row r="70" spans="1:18" ht="15.75" thickBot="1">
      <c r="A70" s="819" t="s">
        <v>1781</v>
      </c>
      <c r="B70" s="820" t="s">
        <v>1804</v>
      </c>
      <c r="C70" s="821">
        <f ca="1">ROUND(C67*10000/F70,0)</f>
        <v>-1762</v>
      </c>
      <c r="D70" s="822" t="s">
        <v>1805</v>
      </c>
      <c r="E70" s="823" t="s">
        <v>1806</v>
      </c>
      <c r="F70" s="824">
        <f ca="1">F43</f>
        <v>64080</v>
      </c>
      <c r="O70" s="2420" t="s">
        <v>2394</v>
      </c>
      <c r="P70" s="2426" t="s">
        <v>2395</v>
      </c>
      <c r="Q70" s="2419">
        <f ca="1">C39</f>
        <v>5251</v>
      </c>
      <c r="R70" s="2418" t="s">
        <v>2375</v>
      </c>
    </row>
    <row r="71" spans="1:18" ht="15.75" thickBot="1">
      <c r="O71" s="2420" t="s">
        <v>2396</v>
      </c>
      <c r="P71" s="2426" t="s">
        <v>2397</v>
      </c>
      <c r="Q71" s="2419">
        <f ca="1">C13</f>
        <v>27097</v>
      </c>
      <c r="R71" s="2418" t="s">
        <v>2375</v>
      </c>
    </row>
    <row r="72" spans="1:18" ht="15.75" thickBot="1">
      <c r="O72" s="2420" t="s">
        <v>2398</v>
      </c>
      <c r="P72" s="2426" t="s">
        <v>2399</v>
      </c>
      <c r="Q72" s="2421">
        <f ca="1">J36</f>
        <v>0.08</v>
      </c>
      <c r="R72" s="2422"/>
    </row>
    <row r="73" spans="1:18" ht="15.75" thickBot="1">
      <c r="O73" s="2420" t="s">
        <v>2381</v>
      </c>
      <c r="P73" s="2418" t="s">
        <v>2388</v>
      </c>
      <c r="Q73" s="2421">
        <f>L52</f>
        <v>0</v>
      </c>
      <c r="R73" s="2422"/>
    </row>
    <row r="74" spans="1:18" ht="20.25" thickBot="1">
      <c r="O74" s="2420" t="s">
        <v>2383</v>
      </c>
      <c r="P74" s="2418" t="s">
        <v>2389</v>
      </c>
      <c r="Q74" s="2419" t="e">
        <f ca="1">L58</f>
        <v>#DIV/0!</v>
      </c>
      <c r="R74" s="2422" t="s">
        <v>2390</v>
      </c>
    </row>
    <row r="75" spans="1:18" ht="15.75" thickBot="1">
      <c r="O75" s="2420" t="s">
        <v>2412</v>
      </c>
      <c r="P75" s="2418" t="str">
        <f>K59</f>
        <v>建筑物剩余耐用年限下的土地年期修正系数Kn</v>
      </c>
      <c r="Q75" s="2419" t="e">
        <f ca="1">L59</f>
        <v>#DIV/0!</v>
      </c>
      <c r="R75" s="2422" t="s">
        <v>2392</v>
      </c>
    </row>
    <row r="76" spans="1:18" ht="15.75" thickBot="1">
      <c r="O76" s="2417" t="s">
        <v>2386</v>
      </c>
      <c r="P76" s="2418" t="s">
        <v>2403</v>
      </c>
      <c r="Q76" s="2419">
        <f ca="1">Q66+Q67</f>
        <v>121741</v>
      </c>
      <c r="R76" s="2422" t="s">
        <v>2387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20" priority="6">
      <formula>$L$48&gt;$J$51</formula>
    </cfRule>
  </conditionalFormatting>
  <conditionalFormatting sqref="I55">
    <cfRule type="expression" dxfId="19" priority="7">
      <formula>$J$51&gt;$L$48</formula>
    </cfRule>
  </conditionalFormatting>
  <conditionalFormatting sqref="I60">
    <cfRule type="expression" dxfId="18" priority="5">
      <formula>$J$51&gt;$L$48</formula>
    </cfRule>
  </conditionalFormatting>
  <conditionalFormatting sqref="K60">
    <cfRule type="expression" dxfId="17" priority="4">
      <formula>$L$48&gt;$J$51</formula>
    </cfRule>
  </conditionalFormatting>
  <conditionalFormatting sqref="C11">
    <cfRule type="expression" dxfId="16" priority="3">
      <formula>$F$10="自定义"</formula>
    </cfRule>
  </conditionalFormatting>
  <conditionalFormatting sqref="J11">
    <cfRule type="expression" dxfId="15" priority="2">
      <formula>$M$10="自定义"</formula>
    </cfRule>
  </conditionalFormatting>
  <conditionalFormatting sqref="C53">
    <cfRule type="expression" dxfId="1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82"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85" zoomScaleNormal="85" workbookViewId="0">
      <selection activeCell="C43" sqref="C43"/>
    </sheetView>
  </sheetViews>
  <sheetFormatPr defaultRowHeight="15"/>
  <cols>
    <col min="1" max="1" width="9" style="2055" customWidth="1"/>
    <col min="2" max="2" width="20.625" style="2094" customWidth="1"/>
    <col min="3" max="3" width="11.875" style="2094" customWidth="1"/>
    <col min="4" max="4" width="40.5" style="2055" customWidth="1"/>
    <col min="5" max="5" width="15.75" style="2055" customWidth="1"/>
    <col min="6" max="6" width="10.625" style="2055" customWidth="1"/>
    <col min="7" max="7" width="4.875" style="2055" customWidth="1"/>
    <col min="8" max="8" width="8.5" style="2055" customWidth="1"/>
    <col min="9" max="9" width="21.25" style="2055" customWidth="1"/>
    <col min="10" max="10" width="12.25" style="2055" customWidth="1"/>
    <col min="11" max="11" width="40.125" style="2095" customWidth="1"/>
    <col min="12" max="12" width="18.375" style="2055" customWidth="1"/>
    <col min="13" max="13" width="13" style="2055" customWidth="1"/>
    <col min="14" max="14" width="9.5" style="2054" bestFit="1" customWidth="1"/>
    <col min="15" max="15" width="5.875" style="2054" customWidth="1"/>
    <col min="16" max="16" width="27.625" style="2054" customWidth="1"/>
    <col min="17" max="17" width="13.75" style="2092" customWidth="1"/>
    <col min="18" max="18" width="23.5" style="2054" customWidth="1"/>
    <col min="19" max="19" width="1.5" style="2054" customWidth="1"/>
    <col min="20" max="33" width="9" style="2054"/>
    <col min="34" max="16384" width="9" style="2055"/>
  </cols>
  <sheetData>
    <row r="1" spans="1:33" s="2049" customFormat="1" ht="21">
      <c r="A1" s="828" t="s">
        <v>1719</v>
      </c>
      <c r="B1" s="734"/>
      <c r="C1" s="769" t="s">
        <v>3127</v>
      </c>
      <c r="D1" s="3148" t="s">
        <v>945</v>
      </c>
      <c r="E1" s="2406" t="s">
        <v>2369</v>
      </c>
      <c r="F1" s="2407" t="e">
        <f ca="1">J53</f>
        <v>#N/A</v>
      </c>
      <c r="G1" s="770" t="e">
        <f>MATCH(C1,'数据-取费表'!A6:A16,0)+5</f>
        <v>#N/A</v>
      </c>
      <c r="H1" s="2045"/>
      <c r="I1" s="2046"/>
      <c r="J1" s="2046"/>
      <c r="K1" s="2047"/>
      <c r="L1" s="2046"/>
      <c r="M1" s="2046"/>
      <c r="N1" s="2048"/>
      <c r="O1" s="2048"/>
      <c r="P1" s="2048"/>
      <c r="Q1" s="2411"/>
      <c r="R1" s="2048"/>
      <c r="S1" s="2048"/>
      <c r="T1" s="2048"/>
      <c r="U1" s="2048"/>
      <c r="V1" s="2048"/>
      <c r="W1" s="2048"/>
      <c r="X1" s="2048"/>
      <c r="Y1" s="2048"/>
      <c r="Z1" s="2048"/>
      <c r="AA1" s="2048"/>
      <c r="AB1" s="2048"/>
      <c r="AC1" s="2048"/>
      <c r="AD1" s="2048"/>
      <c r="AE1" s="2048"/>
      <c r="AF1" s="2048"/>
      <c r="AG1" s="2048"/>
    </row>
    <row r="2" spans="1:33" ht="18" customHeight="1">
      <c r="A2" s="421" t="s">
        <v>1720</v>
      </c>
      <c r="B2" s="771" t="e">
        <f ca="1">C40+J29+L46</f>
        <v>#N/A</v>
      </c>
      <c r="C2" s="2052"/>
      <c r="D2" s="2050"/>
      <c r="E2" s="2051"/>
      <c r="F2" s="2051"/>
      <c r="G2" s="1585"/>
      <c r="H2" s="2052"/>
      <c r="I2" s="2052"/>
      <c r="J2" s="2052"/>
      <c r="K2" s="2053"/>
      <c r="L2" s="2052"/>
      <c r="M2" s="2052"/>
    </row>
    <row r="3" spans="1:33" ht="18" customHeight="1" thickBot="1">
      <c r="A3" s="829" t="s">
        <v>1721</v>
      </c>
      <c r="B3" s="830">
        <f ca="1">IF(ISERROR(B2*10000/F43),0,ROUND(B2*10000/F43,0))</f>
        <v>0</v>
      </c>
      <c r="C3" s="2052"/>
      <c r="D3" s="2050"/>
      <c r="E3" s="2051"/>
      <c r="F3" s="2051"/>
      <c r="G3" s="1585"/>
      <c r="H3" s="772" t="s">
        <v>689</v>
      </c>
      <c r="I3" s="1358"/>
      <c r="J3" s="1358"/>
      <c r="K3" s="1586"/>
      <c r="L3" s="1358"/>
      <c r="M3" s="1358"/>
    </row>
    <row r="4" spans="1:33" ht="18" customHeight="1">
      <c r="A4" s="773" t="s">
        <v>624</v>
      </c>
      <c r="B4" s="774" t="s">
        <v>625</v>
      </c>
      <c r="C4" s="774" t="s">
        <v>1724</v>
      </c>
      <c r="D4" s="774" t="s">
        <v>627</v>
      </c>
      <c r="E4" s="775" t="s">
        <v>1725</v>
      </c>
      <c r="F4" s="776"/>
      <c r="G4" s="1587"/>
      <c r="H4" s="773" t="s">
        <v>624</v>
      </c>
      <c r="I4" s="774" t="s">
        <v>1727</v>
      </c>
      <c r="J4" s="774" t="s">
        <v>626</v>
      </c>
      <c r="K4" s="774" t="s">
        <v>627</v>
      </c>
      <c r="L4" s="775" t="s">
        <v>628</v>
      </c>
      <c r="M4" s="776"/>
    </row>
    <row r="5" spans="1:33" ht="18" customHeight="1">
      <c r="A5" s="777">
        <v>1</v>
      </c>
      <c r="B5" s="778" t="s">
        <v>2454</v>
      </c>
      <c r="C5" s="55" t="e">
        <f ca="1">C6+C10+C12</f>
        <v>#N/A</v>
      </c>
      <c r="D5" s="2515" t="s">
        <v>2457</v>
      </c>
      <c r="E5" s="2509"/>
      <c r="F5" s="2510"/>
      <c r="G5" s="1587"/>
      <c r="H5" s="777">
        <v>1</v>
      </c>
      <c r="I5" s="778" t="s">
        <v>2454</v>
      </c>
      <c r="J5" s="55" t="e">
        <f ca="1">J6+J10+J12</f>
        <v>#N/A</v>
      </c>
      <c r="K5" s="2515" t="s">
        <v>2457</v>
      </c>
      <c r="L5" s="2509"/>
      <c r="M5" s="2510"/>
    </row>
    <row r="6" spans="1:33" ht="18" customHeight="1">
      <c r="A6" s="1825" t="s">
        <v>1818</v>
      </c>
      <c r="B6" s="3523" t="s">
        <v>2459</v>
      </c>
      <c r="C6" s="779" t="e">
        <f ca="1">ROUND(F6*F8*F7*(1-F9)/10000,0)</f>
        <v>#N/A</v>
      </c>
      <c r="D6" s="2516" t="s">
        <v>2458</v>
      </c>
      <c r="E6" s="780" t="s">
        <v>631</v>
      </c>
      <c r="F6" s="781" t="e">
        <f ca="1">INDIRECT("'数据-取费表'!u"&amp;$G$1)</f>
        <v>#N/A</v>
      </c>
      <c r="G6" s="1587"/>
      <c r="H6" s="2523" t="s">
        <v>2465</v>
      </c>
      <c r="I6" s="3523" t="s">
        <v>2459</v>
      </c>
      <c r="J6" s="779" t="e">
        <f ca="1">ROUND(M6*M8*M7*(1-M9)/10000,0)</f>
        <v>#N/A</v>
      </c>
      <c r="K6" s="339" t="s">
        <v>1731</v>
      </c>
      <c r="L6" s="780" t="s">
        <v>631</v>
      </c>
      <c r="M6" s="781" t="e">
        <f ca="1">INDIRECT("'数据-取费表'!z"&amp;$G$1)</f>
        <v>#N/A</v>
      </c>
    </row>
    <row r="7" spans="1:33" ht="18" customHeight="1">
      <c r="A7" s="2519"/>
      <c r="B7" s="3524"/>
      <c r="C7" s="784"/>
      <c r="D7" s="785"/>
      <c r="E7" s="780" t="s">
        <v>1733</v>
      </c>
      <c r="F7" s="781" t="e">
        <f ca="1">IF(INDIRECT("'数据-取费表'!ah"&amp;$G$1)="",INDIRECT("'数据-取费表'!k"&amp;$G$1),INDIRECT("'数据-取费表'!ah"&amp;$G$1))</f>
        <v>#N/A</v>
      </c>
      <c r="G7" s="1587"/>
      <c r="H7" s="2508"/>
      <c r="I7" s="3524"/>
      <c r="J7" s="784"/>
      <c r="K7" s="785"/>
      <c r="L7" s="780" t="s">
        <v>1733</v>
      </c>
      <c r="M7" s="781" t="e">
        <f ca="1">F7</f>
        <v>#N/A</v>
      </c>
    </row>
    <row r="8" spans="1:33" ht="18" customHeight="1">
      <c r="A8" s="2512"/>
      <c r="B8" s="3525"/>
      <c r="C8" s="784"/>
      <c r="D8" s="785"/>
      <c r="E8" s="780" t="s">
        <v>1734</v>
      </c>
      <c r="F8" s="781" t="e">
        <f ca="1">INDIRECT("'数据-取费表'!ai"&amp;$G$1)</f>
        <v>#N/A</v>
      </c>
      <c r="G8" s="1587"/>
      <c r="H8" s="2508"/>
      <c r="I8" s="3525"/>
      <c r="J8" s="784"/>
      <c r="K8" s="785"/>
      <c r="L8" s="780" t="s">
        <v>1734</v>
      </c>
      <c r="M8" s="781" t="e">
        <f ca="1">INDIRECT("'数据-取费表'!ai"&amp;$G$1)</f>
        <v>#N/A</v>
      </c>
    </row>
    <row r="9" spans="1:33" ht="18" customHeight="1">
      <c r="A9" s="782"/>
      <c r="B9" s="3526"/>
      <c r="C9" s="784"/>
      <c r="D9" s="785"/>
      <c r="E9" s="780" t="s">
        <v>1735</v>
      </c>
      <c r="F9" s="790" t="e">
        <f ca="1">INDIRECT("'数据-取费表'!w"&amp;$G$1)</f>
        <v>#N/A</v>
      </c>
      <c r="G9" s="1587"/>
      <c r="H9" s="2524"/>
      <c r="I9" s="3525"/>
      <c r="J9" s="784"/>
      <c r="K9" s="785"/>
      <c r="L9" s="791" t="s">
        <v>1735</v>
      </c>
      <c r="M9" s="792" t="e">
        <f ca="1">INDIRECT("'数据-取费表'!ab"&amp;$G$1)</f>
        <v>#N/A</v>
      </c>
    </row>
    <row r="10" spans="1:33" ht="18" customHeight="1">
      <c r="A10" s="1825" t="s">
        <v>2463</v>
      </c>
      <c r="B10" s="2513" t="s">
        <v>2455</v>
      </c>
      <c r="C10" s="795" t="e">
        <f ca="1">ROUND(IF(F10="押一",F6*F8*F7/12*F11,IF(F10="押二",F6*F8*F7/12*2*F11,IF(F10="押三",F6*F8*F7/12*3*F11,C11*F11)))/10000,0)</f>
        <v>#N/A</v>
      </c>
      <c r="D10" s="2520" t="s">
        <v>2462</v>
      </c>
      <c r="E10" s="2517" t="s">
        <v>2460</v>
      </c>
      <c r="F10" s="2640" t="s">
        <v>3006</v>
      </c>
      <c r="G10" s="1587"/>
      <c r="H10" s="2580" t="s">
        <v>2466</v>
      </c>
      <c r="I10" s="2585" t="s">
        <v>2455</v>
      </c>
      <c r="J10" s="779">
        <f ca="1">ROUND(IF(M10="押一",M6*M8*M7/12*M11,IF(M10="押二",M6*M8*M7/12*2*M11,IF(M10="押三",M6*M8*M7/12*3*M11,J11*M11)))/10000,0)</f>
        <v>0</v>
      </c>
      <c r="K10" s="2520" t="s">
        <v>2462</v>
      </c>
      <c r="L10" s="2517" t="s">
        <v>2460</v>
      </c>
      <c r="M10" s="2640"/>
    </row>
    <row r="11" spans="1:33" ht="18" customHeight="1">
      <c r="A11" s="786"/>
      <c r="B11" s="2514" t="s">
        <v>2570</v>
      </c>
      <c r="C11" s="2518"/>
      <c r="D11" s="785"/>
      <c r="E11" s="2517" t="s">
        <v>2461</v>
      </c>
      <c r="F11" s="792">
        <f ca="1">'数据-取费表'!B39</f>
        <v>1.4999999999999999E-2</v>
      </c>
      <c r="G11" s="1587"/>
      <c r="H11" s="2581"/>
      <c r="I11" s="2514" t="s">
        <v>2570</v>
      </c>
      <c r="J11" s="2518"/>
      <c r="K11" s="2582"/>
      <c r="L11" s="2517" t="s">
        <v>2461</v>
      </c>
      <c r="M11" s="2511">
        <f ca="1">'数据-取费表'!B39</f>
        <v>1.4999999999999999E-2</v>
      </c>
    </row>
    <row r="12" spans="1:33" ht="18" customHeight="1" thickBot="1">
      <c r="A12" s="2556" t="s">
        <v>2464</v>
      </c>
      <c r="B12" s="2557" t="s">
        <v>2456</v>
      </c>
      <c r="C12" s="2558"/>
      <c r="D12" s="2559"/>
      <c r="E12" s="2560"/>
      <c r="F12" s="2561"/>
      <c r="G12" s="1587"/>
      <c r="H12" s="2570" t="s">
        <v>2467</v>
      </c>
      <c r="I12" s="2583" t="s">
        <v>2456</v>
      </c>
      <c r="J12" s="2584"/>
      <c r="K12" s="2559"/>
      <c r="L12" s="2560"/>
      <c r="M12" s="2573"/>
    </row>
    <row r="13" spans="1:33" ht="18" customHeight="1" thickTop="1">
      <c r="A13" s="1824">
        <v>2</v>
      </c>
      <c r="B13" s="1822" t="s">
        <v>1736</v>
      </c>
      <c r="C13" s="788" t="e">
        <f ca="1">ROUND(C29*F13,0)</f>
        <v>#N/A</v>
      </c>
      <c r="D13" s="1829" t="s">
        <v>2292</v>
      </c>
      <c r="E13" s="1829" t="s">
        <v>1738</v>
      </c>
      <c r="F13" s="2555" t="e">
        <f ca="1">INDIRECT("'数据-取费表'!y"&amp;$G$1)</f>
        <v>#N/A</v>
      </c>
      <c r="G13" s="1587"/>
      <c r="H13" s="1824">
        <v>2</v>
      </c>
      <c r="I13" s="1822" t="s">
        <v>1736</v>
      </c>
      <c r="J13" s="1814" t="e">
        <f ca="1">ROUND(J14*J15,0)</f>
        <v>#N/A</v>
      </c>
      <c r="K13" s="1816" t="s">
        <v>1737</v>
      </c>
      <c r="L13" s="2571"/>
      <c r="M13" s="2572"/>
    </row>
    <row r="14" spans="1:33" ht="18" customHeight="1">
      <c r="A14" s="1643" t="s">
        <v>1878</v>
      </c>
      <c r="B14" s="780" t="s">
        <v>639</v>
      </c>
      <c r="C14" s="800" t="e">
        <f ca="1">INDIRECT("'数据-取费表'!m"&amp;$G$1)+INDIRECT("'数据-取费表'!t"&amp;$G$1)</f>
        <v>#N/A</v>
      </c>
      <c r="D14" s="3179" t="s">
        <v>1739</v>
      </c>
      <c r="E14" s="3180"/>
      <c r="F14" s="801"/>
      <c r="G14" s="1587"/>
      <c r="H14" s="1644" t="s">
        <v>1818</v>
      </c>
      <c r="I14" s="2226" t="s">
        <v>2825</v>
      </c>
      <c r="J14" s="53" t="e">
        <f ca="1">C29</f>
        <v>#N/A</v>
      </c>
      <c r="K14" s="26"/>
      <c r="L14" s="797"/>
      <c r="M14" s="798"/>
    </row>
    <row r="15" spans="1:33" s="2059" customFormat="1" ht="18" customHeight="1" thickBot="1">
      <c r="A15" s="1643" t="s">
        <v>1879</v>
      </c>
      <c r="B15" s="780" t="s">
        <v>641</v>
      </c>
      <c r="C15" s="53" t="e">
        <f ca="1">ROUND(C14*F15,0)</f>
        <v>#N/A</v>
      </c>
      <c r="D15" s="802" t="s">
        <v>1740</v>
      </c>
      <c r="E15" s="802" t="s">
        <v>1741</v>
      </c>
      <c r="F15" s="803">
        <f>'数据-取费表'!B33</f>
        <v>0.05</v>
      </c>
      <c r="G15" s="1588"/>
      <c r="H15" s="2570" t="s">
        <v>1883</v>
      </c>
      <c r="I15" s="2565" t="s">
        <v>1738</v>
      </c>
      <c r="J15" s="2574" t="e">
        <f ca="1">INDIRECT("'数据-取费表'!ad"&amp;$G$1)</f>
        <v>#N/A</v>
      </c>
      <c r="K15" s="2575"/>
      <c r="L15" s="2576"/>
      <c r="M15" s="2577"/>
      <c r="N15" s="2058"/>
      <c r="O15" s="2058"/>
      <c r="P15" s="2058"/>
      <c r="Q15" s="2412"/>
      <c r="R15" s="2058"/>
      <c r="S15" s="2058"/>
      <c r="T15" s="2058"/>
      <c r="U15" s="2058"/>
      <c r="V15" s="2058"/>
      <c r="W15" s="2058"/>
      <c r="X15" s="2058"/>
      <c r="Y15" s="2058"/>
      <c r="Z15" s="2058"/>
      <c r="AA15" s="2058"/>
      <c r="AB15" s="2058"/>
      <c r="AC15" s="2058"/>
      <c r="AD15" s="2058"/>
      <c r="AE15" s="2058"/>
      <c r="AF15" s="2058"/>
      <c r="AG15" s="2058"/>
    </row>
    <row r="16" spans="1:33" ht="18" customHeight="1" thickTop="1">
      <c r="A16" s="1643" t="s">
        <v>1880</v>
      </c>
      <c r="B16" s="780" t="s">
        <v>644</v>
      </c>
      <c r="C16" s="53" t="e">
        <f ca="1">ROUND(INDIRECT("'数据-取费表'!m"&amp;$G$1)*F16,0)</f>
        <v>#N/A</v>
      </c>
      <c r="D16" s="780" t="s">
        <v>1740</v>
      </c>
      <c r="E16" s="780" t="s">
        <v>1741</v>
      </c>
      <c r="F16" s="805" t="e">
        <f ca="1">IF(INDIRECT("'数据-取费表'!c"&amp;$G$1)="住宅",'数据-取费表'!B34,0)</f>
        <v>#N/A</v>
      </c>
      <c r="G16" s="1587"/>
      <c r="H16" s="1824" t="s">
        <v>1742</v>
      </c>
      <c r="I16" s="1822" t="s">
        <v>1743</v>
      </c>
      <c r="J16" s="788" t="e">
        <f ca="1">ROUND(J17+J22+J23+J24,0)</f>
        <v>#N/A</v>
      </c>
      <c r="K16" s="1816" t="s">
        <v>1744</v>
      </c>
      <c r="L16" s="3181"/>
      <c r="M16" s="2510"/>
    </row>
    <row r="17" spans="1:33" s="2059" customFormat="1" ht="18" customHeight="1">
      <c r="A17" s="1643" t="s">
        <v>1881</v>
      </c>
      <c r="B17" s="780" t="s">
        <v>647</v>
      </c>
      <c r="C17" s="53" t="e">
        <f ca="1">ROUND(F17*(F43+INDIRECT("'数据-取费表'!S"&amp;$G$1))/10000,0)</f>
        <v>#N/A</v>
      </c>
      <c r="D17" s="780" t="s">
        <v>1745</v>
      </c>
      <c r="E17" s="780" t="s">
        <v>649</v>
      </c>
      <c r="F17" s="56">
        <f>'数据-取费表'!B35</f>
        <v>200</v>
      </c>
      <c r="G17" s="1588"/>
      <c r="H17" s="1644" t="s">
        <v>1818</v>
      </c>
      <c r="I17" s="780" t="s">
        <v>650</v>
      </c>
      <c r="J17" s="53" t="e">
        <f ca="1">ROUND(IF(项目基本情况!B11="自然人",J5*M17,J18+J19+J20),0)</f>
        <v>#N/A</v>
      </c>
      <c r="K17" s="3179" t="s">
        <v>1747</v>
      </c>
      <c r="L17" s="3177" t="s">
        <v>1748</v>
      </c>
      <c r="M17" s="806" t="str">
        <f ca="1">IF(项目基本情况!B11="企业","",IF(INDIRECT("'数据-取费表'!c"&amp;$G$1)="住宅",5%,IF(M6*M7*M8/12/(1+'数据-取费表'!C42)&gt;20000,12%,7%)))</f>
        <v/>
      </c>
      <c r="N17" s="2058"/>
      <c r="O17" s="2058"/>
      <c r="P17" s="2058"/>
      <c r="Q17" s="2412"/>
      <c r="R17" s="2058"/>
      <c r="S17" s="2058"/>
      <c r="T17" s="2058"/>
      <c r="U17" s="2058"/>
      <c r="V17" s="2058"/>
      <c r="W17" s="2058"/>
      <c r="X17" s="2058"/>
      <c r="Y17" s="2058"/>
      <c r="Z17" s="2058"/>
      <c r="AA17" s="2058"/>
      <c r="AB17" s="2058"/>
      <c r="AC17" s="2058"/>
      <c r="AD17" s="2058"/>
      <c r="AE17" s="2058"/>
      <c r="AF17" s="2058"/>
      <c r="AG17" s="2058"/>
    </row>
    <row r="18" spans="1:33" s="2059" customFormat="1" ht="18" customHeight="1">
      <c r="A18" s="1643" t="s">
        <v>1882</v>
      </c>
      <c r="B18" s="780" t="s">
        <v>653</v>
      </c>
      <c r="C18" s="53" t="e">
        <f ca="1">ROUND(C14*F18,0)</f>
        <v>#N/A</v>
      </c>
      <c r="D18" s="780" t="s">
        <v>1740</v>
      </c>
      <c r="E18" s="780" t="s">
        <v>1741</v>
      </c>
      <c r="F18" s="805">
        <f>'数据-取费表'!B36</f>
        <v>1.4999999999999999E-2</v>
      </c>
      <c r="G18" s="1588"/>
      <c r="H18" s="1643" t="s">
        <v>1878</v>
      </c>
      <c r="I18" s="780" t="s">
        <v>1749</v>
      </c>
      <c r="J18" s="53" t="e">
        <f ca="1">ROUND(J5*M18/1.05,1)</f>
        <v>#N/A</v>
      </c>
      <c r="K18" s="3177" t="s">
        <v>1750</v>
      </c>
      <c r="L18" s="780" t="s">
        <v>1741</v>
      </c>
      <c r="M18" s="805">
        <f>'数据-取费表'!B41</f>
        <v>5.6000000000000001E-2</v>
      </c>
      <c r="N18" s="2058"/>
      <c r="O18" s="2058"/>
      <c r="P18" s="2058"/>
      <c r="Q18" s="2412"/>
      <c r="R18" s="2058"/>
      <c r="S18" s="2058"/>
      <c r="T18" s="2058"/>
      <c r="U18" s="2058"/>
      <c r="V18" s="2058"/>
      <c r="W18" s="2058"/>
      <c r="X18" s="2058"/>
      <c r="Y18" s="2058"/>
      <c r="Z18" s="2058"/>
      <c r="AA18" s="2058"/>
      <c r="AB18" s="2058"/>
      <c r="AC18" s="2058"/>
      <c r="AD18" s="2058"/>
      <c r="AE18" s="2058"/>
      <c r="AF18" s="2058"/>
      <c r="AG18" s="2058"/>
    </row>
    <row r="19" spans="1:33" ht="18" customHeight="1">
      <c r="A19" s="1644" t="s">
        <v>1818</v>
      </c>
      <c r="B19" s="780" t="s">
        <v>656</v>
      </c>
      <c r="C19" s="53" t="e">
        <f ca="1">SUM(C14:C18)</f>
        <v>#N/A</v>
      </c>
      <c r="D19" s="256" t="s">
        <v>1751</v>
      </c>
      <c r="E19" s="3187"/>
      <c r="F19" s="56"/>
      <c r="G19" s="1587"/>
      <c r="H19" s="1643" t="s">
        <v>1879</v>
      </c>
      <c r="I19" s="780" t="s">
        <v>1752</v>
      </c>
      <c r="J19" s="53" t="e">
        <f ca="1">IF(K19="按租金收入计税",ROUND(J5*M19,1),ROUND(C29*F33*0.7,1))</f>
        <v>#N/A</v>
      </c>
      <c r="K19" s="807" t="s">
        <v>659</v>
      </c>
      <c r="L19" s="780" t="s">
        <v>1741</v>
      </c>
      <c r="M19" s="805">
        <f>IF(K19="按租金收入计税",'数据-取费表'!B51,'数据-取费表'!B50)</f>
        <v>1.2E-2</v>
      </c>
    </row>
    <row r="20" spans="1:33" s="2059" customFormat="1" ht="18" customHeight="1">
      <c r="A20" s="1644" t="s">
        <v>1883</v>
      </c>
      <c r="B20" s="780" t="s">
        <v>660</v>
      </c>
      <c r="C20" s="53" t="e">
        <f ca="1">ROUND(C19*F20,0)</f>
        <v>#N/A</v>
      </c>
      <c r="D20" s="808" t="s">
        <v>1753</v>
      </c>
      <c r="E20" s="780" t="s">
        <v>1741</v>
      </c>
      <c r="F20" s="805">
        <f>'数据-取费表'!B37</f>
        <v>0.02</v>
      </c>
      <c r="G20" s="1588"/>
      <c r="H20" s="1646" t="s">
        <v>1874</v>
      </c>
      <c r="I20" s="339" t="s">
        <v>1754</v>
      </c>
      <c r="J20" s="54" t="e">
        <f ca="1">ROUND(M20*M21/10000,0)</f>
        <v>#N/A</v>
      </c>
      <c r="K20" s="810" t="s">
        <v>1755</v>
      </c>
      <c r="L20" s="780" t="s">
        <v>1756</v>
      </c>
      <c r="M20" s="636">
        <f>'数据-取费表'!B52</f>
        <v>20</v>
      </c>
      <c r="N20" s="2058"/>
      <c r="O20" s="2058"/>
      <c r="P20" s="2058"/>
      <c r="Q20" s="2412"/>
      <c r="R20" s="2058"/>
      <c r="S20" s="2058"/>
      <c r="T20" s="2058"/>
      <c r="U20" s="2058"/>
      <c r="V20" s="2058"/>
      <c r="W20" s="2058"/>
      <c r="X20" s="2058"/>
      <c r="Y20" s="2058"/>
      <c r="Z20" s="2058"/>
      <c r="AA20" s="2058"/>
      <c r="AB20" s="2058"/>
      <c r="AC20" s="2058"/>
      <c r="AD20" s="2058"/>
      <c r="AE20" s="2058"/>
      <c r="AF20" s="2058"/>
      <c r="AG20" s="2058"/>
    </row>
    <row r="21" spans="1:33" s="2059" customFormat="1" ht="18" customHeight="1">
      <c r="A21" s="1644" t="s">
        <v>1884</v>
      </c>
      <c r="B21" s="780" t="s">
        <v>1757</v>
      </c>
      <c r="C21" s="53" t="s">
        <v>1758</v>
      </c>
      <c r="D21" s="808" t="s">
        <v>2293</v>
      </c>
      <c r="E21" s="780" t="s">
        <v>1759</v>
      </c>
      <c r="F21" s="805">
        <f>'数据-取费表'!B38</f>
        <v>0.02</v>
      </c>
      <c r="G21" s="1588"/>
      <c r="H21" s="2525"/>
      <c r="I21" s="789"/>
      <c r="J21" s="69"/>
      <c r="K21" s="812"/>
      <c r="L21" s="780" t="s">
        <v>1760</v>
      </c>
      <c r="M21" s="781" t="e">
        <f ca="1">INDIRECT("'数据-取费表'!r"&amp;$G$1)</f>
        <v>#N/A</v>
      </c>
      <c r="N21" s="2058"/>
      <c r="O21" s="2058"/>
      <c r="P21" s="2058"/>
      <c r="Q21" s="2412"/>
      <c r="R21" s="2058"/>
      <c r="S21" s="2058"/>
      <c r="T21" s="2058"/>
      <c r="U21" s="2058"/>
      <c r="V21" s="2058"/>
      <c r="W21" s="2058"/>
      <c r="X21" s="2058"/>
      <c r="Y21" s="2058"/>
      <c r="Z21" s="2058"/>
      <c r="AA21" s="2058"/>
      <c r="AB21" s="2058"/>
      <c r="AC21" s="2058"/>
      <c r="AD21" s="2058"/>
      <c r="AE21" s="2058"/>
      <c r="AF21" s="2058"/>
      <c r="AG21" s="2058"/>
    </row>
    <row r="22" spans="1:33" ht="18" customHeight="1">
      <c r="A22" s="1644" t="s">
        <v>1885</v>
      </c>
      <c r="B22" s="780" t="s">
        <v>1761</v>
      </c>
      <c r="C22" s="53"/>
      <c r="D22" s="2591" t="str">
        <f>IF(F23&lt;=1,"单利计息。","复利计息。")&amp;"建造成本、管理费用、销售费用产生的利息。"</f>
        <v>复利计息。建造成本、管理费用、销售费用产生的利息。</v>
      </c>
      <c r="E22" s="3187"/>
      <c r="F22" s="56"/>
      <c r="G22" s="1587"/>
      <c r="H22" s="1644" t="s">
        <v>1883</v>
      </c>
      <c r="I22" s="780" t="s">
        <v>1762</v>
      </c>
      <c r="J22" s="53" t="e">
        <f ca="1">ROUND(J14*M22,0)</f>
        <v>#N/A</v>
      </c>
      <c r="K22" s="3177" t="s">
        <v>1763</v>
      </c>
      <c r="L22" s="780" t="s">
        <v>1741</v>
      </c>
      <c r="M22" s="813" t="e">
        <f ca="1">INDIRECT("'数据-取费表'!Ak"&amp;$G$1)</f>
        <v>#N/A</v>
      </c>
    </row>
    <row r="23" spans="1:33" s="2059" customFormat="1" ht="18" customHeight="1">
      <c r="A23" s="1643" t="s">
        <v>1825</v>
      </c>
      <c r="B23" s="780" t="s">
        <v>2532</v>
      </c>
      <c r="C23" s="53" t="e">
        <f ca="1">ROUND(IF('数据-取费表'!B22&lt;=1,(C19+C20)*F24*F23/2,(C19+C20)*(POWER((1+F24),F23/2)-1)),0)</f>
        <v>#N/A</v>
      </c>
      <c r="D23" s="2590" t="str">
        <f>IF(F23&lt;=1,"(建造成本+管理费用)×利率×(建设周期÷2)","(建造成本+管理费用)×((1+利率)^(建设周期÷2)-1)")</f>
        <v>(建造成本+管理费用)×((1+利率)^(建设周期÷2)-1)</v>
      </c>
      <c r="E23" s="780" t="s">
        <v>1764</v>
      </c>
      <c r="F23" s="636">
        <f>'数据-取费表'!B20</f>
        <v>3</v>
      </c>
      <c r="G23" s="1588"/>
      <c r="H23" s="1644" t="s">
        <v>1884</v>
      </c>
      <c r="I23" s="780" t="s">
        <v>673</v>
      </c>
      <c r="J23" s="53" t="e">
        <f ca="1">ROUND(J13*M23,0)</f>
        <v>#N/A</v>
      </c>
      <c r="K23" s="3177" t="s">
        <v>1765</v>
      </c>
      <c r="L23" s="780" t="s">
        <v>1741</v>
      </c>
      <c r="M23" s="814" t="e">
        <f ca="1">INDIRECT("'数据-取费表'!Al"&amp;$G$1)</f>
        <v>#N/A</v>
      </c>
      <c r="N23" s="2058"/>
      <c r="O23" s="2058"/>
      <c r="P23" s="2058"/>
      <c r="Q23" s="2412"/>
      <c r="R23" s="2058"/>
      <c r="S23" s="2058"/>
      <c r="T23" s="2058"/>
      <c r="U23" s="2058"/>
      <c r="V23" s="2058"/>
      <c r="W23" s="2058"/>
      <c r="X23" s="2058"/>
      <c r="Y23" s="2058"/>
      <c r="Z23" s="2058"/>
      <c r="AA23" s="2058"/>
      <c r="AB23" s="2058"/>
      <c r="AC23" s="2058"/>
      <c r="AD23" s="2058"/>
      <c r="AE23" s="2058"/>
      <c r="AF23" s="2058"/>
      <c r="AG23" s="2058"/>
    </row>
    <row r="24" spans="1:33" s="2059" customFormat="1" ht="18" customHeight="1" thickBot="1">
      <c r="A24" s="1643" t="s">
        <v>1826</v>
      </c>
      <c r="B24" s="780" t="s">
        <v>1766</v>
      </c>
      <c r="C24" s="53">
        <f ca="1">ROUND(IF('数据-取费表'!B22&lt;=1,F21*F24*F23/2,F21*(POWER((1+F24),F23/2)-1)),4)</f>
        <v>1.4E-3</v>
      </c>
      <c r="D24" s="2590" t="str">
        <f>IF(F23&lt;=1,"销售费用×利率×(建设周期÷2)","销售费用×((1+利率)^(建设周期÷2)-1)")</f>
        <v>销售费用×((1+利率)^(建设周期÷2)-1)</v>
      </c>
      <c r="E24" s="780" t="s">
        <v>1767</v>
      </c>
      <c r="F24" s="815">
        <f ca="1">'数据-取费表'!B40</f>
        <v>4.7500000000000001E-2</v>
      </c>
      <c r="G24" s="1588"/>
      <c r="H24" s="2570" t="s">
        <v>1885</v>
      </c>
      <c r="I24" s="2565" t="s">
        <v>660</v>
      </c>
      <c r="J24" s="2563" t="e">
        <f ca="1">ROUND(J5*M24,0)</f>
        <v>#N/A</v>
      </c>
      <c r="K24" s="2564" t="s">
        <v>1768</v>
      </c>
      <c r="L24" s="2565" t="s">
        <v>1741</v>
      </c>
      <c r="M24" s="2561" t="e">
        <f ca="1">INDIRECT("'数据-取费表'!Am"&amp;$G$1)</f>
        <v>#N/A</v>
      </c>
      <c r="N24" s="2058"/>
      <c r="O24" s="2058"/>
      <c r="P24" s="2058"/>
      <c r="Q24" s="2412"/>
      <c r="R24" s="2058"/>
      <c r="S24" s="2058"/>
      <c r="T24" s="2058"/>
      <c r="U24" s="2058"/>
      <c r="V24" s="2058"/>
      <c r="W24" s="2058"/>
      <c r="X24" s="2058"/>
      <c r="Y24" s="2058"/>
      <c r="Z24" s="2058"/>
      <c r="AA24" s="2058"/>
      <c r="AB24" s="2058"/>
      <c r="AC24" s="2058"/>
      <c r="AD24" s="2058"/>
      <c r="AE24" s="2058"/>
      <c r="AF24" s="2058"/>
      <c r="AG24" s="2058"/>
    </row>
    <row r="25" spans="1:33" ht="18" customHeight="1" thickTop="1">
      <c r="A25" s="1645" t="s">
        <v>1834</v>
      </c>
      <c r="B25" s="780" t="s">
        <v>678</v>
      </c>
      <c r="C25" s="53"/>
      <c r="D25" s="256" t="s">
        <v>1769</v>
      </c>
      <c r="E25" s="3187"/>
      <c r="F25" s="56"/>
      <c r="G25" s="1587"/>
      <c r="H25" s="1824" t="s">
        <v>1770</v>
      </c>
      <c r="I25" s="3031" t="s">
        <v>2821</v>
      </c>
      <c r="J25" s="788" t="e">
        <f ca="1">J5-J16</f>
        <v>#N/A</v>
      </c>
      <c r="K25" s="2567" t="s">
        <v>1771</v>
      </c>
      <c r="L25" s="2568"/>
      <c r="M25" s="2569"/>
    </row>
    <row r="26" spans="1:33" ht="18" customHeight="1">
      <c r="A26" s="1643" t="s">
        <v>1825</v>
      </c>
      <c r="B26" s="780" t="s">
        <v>2433</v>
      </c>
      <c r="C26" s="53" t="e">
        <f ca="1">ROUND((C19+C20)*F26,0)</f>
        <v>#N/A</v>
      </c>
      <c r="D26" s="808" t="s">
        <v>1772</v>
      </c>
      <c r="E26" s="791" t="s">
        <v>1773</v>
      </c>
      <c r="F26" s="790" t="e">
        <f ca="1">INDIRECT("'数据-取费表'!q"&amp;$G$1)</f>
        <v>#N/A</v>
      </c>
      <c r="G26" s="1587"/>
      <c r="H26" s="2521" t="s">
        <v>1774</v>
      </c>
      <c r="I26" s="2227" t="s">
        <v>2826</v>
      </c>
      <c r="J26" s="779" t="e">
        <f ca="1">IF(J5&lt;&gt;0,ROUND(J25*(1-((1+M28)/(1+M26))^M27)/(M26-M28),0),0)</f>
        <v>#N/A</v>
      </c>
      <c r="K26" s="810" t="s">
        <v>1775</v>
      </c>
      <c r="L26" s="780" t="s">
        <v>2414</v>
      </c>
      <c r="M26" s="790" t="e">
        <f ca="1">INDIRECT("'数据-取费表'!I"&amp;$G$1)</f>
        <v>#N/A</v>
      </c>
    </row>
    <row r="27" spans="1:33" ht="18" customHeight="1">
      <c r="A27" s="1643" t="s">
        <v>1826</v>
      </c>
      <c r="B27" s="780" t="s">
        <v>680</v>
      </c>
      <c r="C27" s="53" t="e">
        <f ca="1">ROUND(F21*F26,4)</f>
        <v>#N/A</v>
      </c>
      <c r="D27" s="808" t="s">
        <v>1776</v>
      </c>
      <c r="E27" s="802"/>
      <c r="F27" s="803"/>
      <c r="G27" s="1587"/>
      <c r="H27" s="2522"/>
      <c r="I27" s="783"/>
      <c r="J27" s="784"/>
      <c r="K27" s="817" t="s">
        <v>1777</v>
      </c>
      <c r="L27" s="780" t="s">
        <v>1778</v>
      </c>
      <c r="M27" s="818" t="e">
        <f ca="1">INDIRECT("'数据-取费表'!ag"&amp;$G$1)</f>
        <v>#N/A</v>
      </c>
    </row>
    <row r="28" spans="1:33" s="2059" customFormat="1" ht="18" customHeight="1">
      <c r="A28" s="1645" t="s">
        <v>1835</v>
      </c>
      <c r="B28" s="780" t="s">
        <v>681</v>
      </c>
      <c r="C28" s="53">
        <f>ROUND(F28/(1+'数据-取费表'!C42),4)</f>
        <v>5.33E-2</v>
      </c>
      <c r="D28" s="808" t="s">
        <v>2294</v>
      </c>
      <c r="E28" s="780" t="s">
        <v>1779</v>
      </c>
      <c r="F28" s="805">
        <f>'数据-取费表'!B41</f>
        <v>5.6000000000000001E-2</v>
      </c>
      <c r="G28" s="1588"/>
      <c r="H28" s="1824"/>
      <c r="I28" s="787"/>
      <c r="J28" s="788"/>
      <c r="K28" s="812"/>
      <c r="L28" s="780" t="s">
        <v>1780</v>
      </c>
      <c r="M28" s="790" t="e">
        <f ca="1">INDIRECT("'数据-取费表'!aa"&amp;$G$1)</f>
        <v>#N/A</v>
      </c>
      <c r="N28" s="2058"/>
      <c r="O28" s="2058"/>
      <c r="P28" s="2058"/>
      <c r="Q28" s="2412"/>
      <c r="R28" s="2058"/>
      <c r="S28" s="2058"/>
      <c r="T28" s="2058"/>
      <c r="U28" s="2058"/>
      <c r="V28" s="2058"/>
      <c r="W28" s="2058"/>
      <c r="X28" s="2058"/>
      <c r="Y28" s="2058"/>
      <c r="Z28" s="2058"/>
      <c r="AA28" s="2058"/>
      <c r="AB28" s="2058"/>
      <c r="AC28" s="2058"/>
      <c r="AD28" s="2058"/>
      <c r="AE28" s="2058"/>
      <c r="AF28" s="2058"/>
      <c r="AG28" s="2058"/>
    </row>
    <row r="29" spans="1:33" s="2059" customFormat="1" ht="18" customHeight="1" thickBot="1">
      <c r="A29" s="2562" t="s">
        <v>1886</v>
      </c>
      <c r="B29" s="2560" t="s">
        <v>2295</v>
      </c>
      <c r="C29" s="2563" t="e">
        <f ca="1">ROUND((C19+C20+C23+C26)/(1-F21-C24-C27-C28),0)</f>
        <v>#N/A</v>
      </c>
      <c r="D29" s="2564"/>
      <c r="E29" s="2565"/>
      <c r="F29" s="2566"/>
      <c r="G29" s="1588"/>
      <c r="H29" s="819" t="s">
        <v>1781</v>
      </c>
      <c r="I29" s="820" t="s">
        <v>1782</v>
      </c>
      <c r="J29" s="821" t="e">
        <f ca="1">ROUND(J26/(1+F40)^F41,0)</f>
        <v>#N/A</v>
      </c>
      <c r="K29" s="822" t="s">
        <v>1783</v>
      </c>
      <c r="L29" s="823"/>
      <c r="M29" s="824" t="e">
        <f ca="1">INDIRECT("'数据-取费表'!k"&amp;$G$1)</f>
        <v>#N/A</v>
      </c>
      <c r="N29" s="2058"/>
      <c r="O29" s="2058"/>
      <c r="P29" s="2058"/>
      <c r="Q29" s="2412"/>
      <c r="R29" s="2058"/>
      <c r="S29" s="2058"/>
      <c r="T29" s="2058"/>
      <c r="U29" s="2058"/>
      <c r="V29" s="2058"/>
      <c r="W29" s="2058"/>
      <c r="X29" s="2058"/>
      <c r="Y29" s="2058"/>
      <c r="Z29" s="2058"/>
      <c r="AA29" s="2058"/>
      <c r="AB29" s="2058"/>
      <c r="AC29" s="2058"/>
      <c r="AD29" s="2058"/>
      <c r="AE29" s="2058"/>
      <c r="AF29" s="2058"/>
      <c r="AG29" s="2058"/>
    </row>
    <row r="30" spans="1:33" ht="18" customHeight="1" thickTop="1">
      <c r="A30" s="1824" t="s">
        <v>1887</v>
      </c>
      <c r="B30" s="1822" t="s">
        <v>1784</v>
      </c>
      <c r="C30" s="788" t="e">
        <f ca="1">ROUND(C31+C36+C37+C38,0)</f>
        <v>#N/A</v>
      </c>
      <c r="D30" s="1816" t="s">
        <v>1785</v>
      </c>
      <c r="E30" s="3181"/>
      <c r="F30" s="2510"/>
      <c r="G30" s="2057"/>
      <c r="H30" s="2060"/>
      <c r="I30" s="2061"/>
      <c r="J30" s="2062"/>
      <c r="K30" s="2063"/>
      <c r="L30" s="2064"/>
      <c r="M30" s="2065"/>
    </row>
    <row r="31" spans="1:33" ht="18" customHeight="1">
      <c r="A31" s="1644" t="s">
        <v>1818</v>
      </c>
      <c r="B31" s="780" t="s">
        <v>650</v>
      </c>
      <c r="C31" s="53" t="e">
        <f ca="1">ROUND(IF(项目基本情况!B11="自然人",C5*F31,C32+C33+C34),1)</f>
        <v>#N/A</v>
      </c>
      <c r="D31" s="3179" t="s">
        <v>1786</v>
      </c>
      <c r="E31" s="3177" t="s">
        <v>1787</v>
      </c>
      <c r="F31" s="806" t="str">
        <f ca="1">IF(项目基本情况!B11="企业","",IF(INDIRECT("'数据-取费表'!c"&amp;$G$1)="住宅",5%,IF(F6*F7*F8/12/(1+'数据-取费表'!C42)&gt;20000,12%,7%)))</f>
        <v/>
      </c>
      <c r="G31" s="2057"/>
      <c r="H31" s="2060"/>
      <c r="I31" s="2061"/>
      <c r="J31" s="2062"/>
      <c r="K31" s="2063"/>
      <c r="L31" s="2064"/>
      <c r="M31" s="2065"/>
    </row>
    <row r="32" spans="1:33" ht="18" customHeight="1">
      <c r="A32" s="1643" t="s">
        <v>1825</v>
      </c>
      <c r="B32" s="780" t="s">
        <v>1788</v>
      </c>
      <c r="C32" s="53" t="e">
        <f ca="1">ROUND(C5*F32/1.05,1)</f>
        <v>#N/A</v>
      </c>
      <c r="D32" s="3177" t="s">
        <v>1789</v>
      </c>
      <c r="E32" s="780" t="s">
        <v>1790</v>
      </c>
      <c r="F32" s="805">
        <f>'数据-取费表'!B41</f>
        <v>5.6000000000000001E-2</v>
      </c>
      <c r="G32" s="2057"/>
      <c r="H32" s="2066"/>
      <c r="I32" s="2067"/>
      <c r="J32" s="2068"/>
      <c r="K32" s="2069"/>
      <c r="L32" s="2070"/>
      <c r="M32" s="2071"/>
    </row>
    <row r="33" spans="1:18" ht="18" customHeight="1">
      <c r="A33" s="1643" t="s">
        <v>1826</v>
      </c>
      <c r="B33" s="780" t="s">
        <v>1791</v>
      </c>
      <c r="C33" s="53" t="e">
        <f ca="1">IF(D33="按租金收入计税",ROUND(C5*F33,1),IF(D33="按房产原值计税",ROUND(C29*F33*0.7,1),INDIRECT("'数据-取费表'!Aj"&amp;$G$1)))</f>
        <v>#N/A</v>
      </c>
      <c r="D33" s="807" t="s">
        <v>1674</v>
      </c>
      <c r="E33" s="780" t="s">
        <v>1790</v>
      </c>
      <c r="F33" s="805">
        <f>IF(D33="按租金收入计税",'数据-取费表'!B51,'数据-取费表'!B50)</f>
        <v>1.2E-2</v>
      </c>
      <c r="G33" s="2057"/>
      <c r="H33" s="2072"/>
      <c r="I33" s="2072"/>
      <c r="J33" s="2072"/>
      <c r="K33" s="2073"/>
      <c r="L33" s="2072"/>
      <c r="M33" s="2072"/>
    </row>
    <row r="34" spans="1:18" ht="18" customHeight="1">
      <c r="A34" s="1646" t="s">
        <v>1827</v>
      </c>
      <c r="B34" s="339" t="s">
        <v>1792</v>
      </c>
      <c r="C34" s="54" t="e">
        <f ca="1">ROUND(F34*F35/10000,1)</f>
        <v>#N/A</v>
      </c>
      <c r="D34" s="810" t="s">
        <v>1793</v>
      </c>
      <c r="E34" s="780" t="s">
        <v>1794</v>
      </c>
      <c r="F34" s="636">
        <f>'数据-取费表'!B52</f>
        <v>20</v>
      </c>
      <c r="G34" s="2057"/>
      <c r="H34" s="2060"/>
      <c r="I34" s="831" t="s">
        <v>1807</v>
      </c>
      <c r="J34" s="832"/>
      <c r="K34" s="2075"/>
      <c r="L34" s="2074"/>
      <c r="M34" s="2074"/>
    </row>
    <row r="35" spans="1:18" ht="18" customHeight="1">
      <c r="A35" s="811"/>
      <c r="B35" s="789"/>
      <c r="C35" s="69"/>
      <c r="D35" s="812"/>
      <c r="E35" s="780" t="s">
        <v>1795</v>
      </c>
      <c r="F35" s="781" t="e">
        <f ca="1">INDIRECT("'数据-取费表'!r"&amp;$G$1)</f>
        <v>#N/A</v>
      </c>
      <c r="G35" s="2057"/>
      <c r="H35" s="2060"/>
      <c r="I35" s="833" t="s">
        <v>1808</v>
      </c>
      <c r="J35" s="834" t="e">
        <f ca="1">ROUND(C13*J36,0)</f>
        <v>#N/A</v>
      </c>
      <c r="K35" s="2073"/>
      <c r="L35" s="2072"/>
      <c r="M35" s="2072"/>
    </row>
    <row r="36" spans="1:18" ht="18" customHeight="1">
      <c r="A36" s="1644" t="s">
        <v>1883</v>
      </c>
      <c r="B36" s="780" t="s">
        <v>1796</v>
      </c>
      <c r="C36" s="53" t="e">
        <f ca="1">ROUND(C29*F36,1)</f>
        <v>#N/A</v>
      </c>
      <c r="D36" s="3177" t="s">
        <v>1797</v>
      </c>
      <c r="E36" s="780" t="s">
        <v>1790</v>
      </c>
      <c r="F36" s="813" t="e">
        <f ca="1">INDIRECT("'数据-取费表'!Ak"&amp;$G$1)</f>
        <v>#N/A</v>
      </c>
      <c r="G36" s="2057"/>
      <c r="H36" s="2072"/>
      <c r="I36" s="835" t="s">
        <v>1809</v>
      </c>
      <c r="J36" s="836" t="e">
        <f ca="1">INDIRECT("'数据-取费表'!j"&amp;$G$1)</f>
        <v>#N/A</v>
      </c>
      <c r="K36" s="2077"/>
      <c r="L36" s="2072"/>
      <c r="M36" s="2072"/>
    </row>
    <row r="37" spans="1:18" ht="18" customHeight="1">
      <c r="A37" s="1644" t="s">
        <v>1884</v>
      </c>
      <c r="B37" s="780" t="s">
        <v>673</v>
      </c>
      <c r="C37" s="53" t="e">
        <f ca="1">ROUND(C13*F37,1)</f>
        <v>#N/A</v>
      </c>
      <c r="D37" s="3177" t="s">
        <v>1798</v>
      </c>
      <c r="E37" s="780" t="s">
        <v>1790</v>
      </c>
      <c r="F37" s="814" t="e">
        <f ca="1">INDIRECT("'数据-取费表'!Al"&amp;$G$1)</f>
        <v>#N/A</v>
      </c>
      <c r="G37" s="2057"/>
      <c r="H37" s="2072"/>
      <c r="I37" s="837" t="s">
        <v>1810</v>
      </c>
      <c r="J37" s="838"/>
      <c r="K37" s="2077"/>
      <c r="L37" s="2072"/>
      <c r="M37" s="2072"/>
    </row>
    <row r="38" spans="1:18" ht="18" customHeight="1" thickBot="1">
      <c r="A38" s="2570" t="s">
        <v>1885</v>
      </c>
      <c r="B38" s="2565" t="s">
        <v>660</v>
      </c>
      <c r="C38" s="2563" t="e">
        <f ca="1">ROUND(C5*F38,1)</f>
        <v>#N/A</v>
      </c>
      <c r="D38" s="2564" t="s">
        <v>1799</v>
      </c>
      <c r="E38" s="2565" t="s">
        <v>1790</v>
      </c>
      <c r="F38" s="2561" t="e">
        <f ca="1">INDIRECT("'数据-取费表'!Am"&amp;$G$1)</f>
        <v>#N/A</v>
      </c>
      <c r="G38" s="2057"/>
      <c r="H38" s="2072"/>
      <c r="I38" s="839" t="s">
        <v>1811</v>
      </c>
      <c r="J38" s="840"/>
      <c r="K38" s="2078"/>
      <c r="L38" s="2072"/>
      <c r="M38" s="2072"/>
    </row>
    <row r="39" spans="1:18" ht="24.6" customHeight="1" thickTop="1">
      <c r="A39" s="1824" t="s">
        <v>1888</v>
      </c>
      <c r="B39" s="3031" t="s">
        <v>2821</v>
      </c>
      <c r="C39" s="788" t="e">
        <f ca="1">C5-C30</f>
        <v>#N/A</v>
      </c>
      <c r="D39" s="2567" t="s">
        <v>1800</v>
      </c>
      <c r="E39" s="2568"/>
      <c r="F39" s="2569"/>
      <c r="G39" s="2057"/>
      <c r="H39" s="2072"/>
      <c r="I39" s="833" t="s">
        <v>1812</v>
      </c>
      <c r="J39" s="841" t="e">
        <f ca="1">ROUND(J35/C39,3)</f>
        <v>#N/A</v>
      </c>
      <c r="K39" s="2078"/>
      <c r="L39" s="2072"/>
      <c r="M39" s="2072"/>
    </row>
    <row r="40" spans="1:18" ht="18" customHeight="1">
      <c r="A40" s="777" t="s">
        <v>1889</v>
      </c>
      <c r="B40" s="2227" t="s">
        <v>2296</v>
      </c>
      <c r="C40" s="779" t="e">
        <f ca="1">ROUND(C39*(1-((1+F42)/(1+F40))^F41)/(F40-F42),0)</f>
        <v>#N/A</v>
      </c>
      <c r="D40" s="810" t="s">
        <v>1801</v>
      </c>
      <c r="E40" s="780" t="s">
        <v>2414</v>
      </c>
      <c r="F40" s="790" t="e">
        <f ca="1">INDIRECT("'数据-取费表'!I"&amp;$G$1)</f>
        <v>#N/A</v>
      </c>
      <c r="G40" s="2057"/>
      <c r="H40" s="2057"/>
      <c r="I40" s="833" t="s">
        <v>1813</v>
      </c>
      <c r="J40" s="841" t="e">
        <f ca="1">1-J39</f>
        <v>#N/A</v>
      </c>
      <c r="K40" s="2078"/>
      <c r="L40" s="2057"/>
      <c r="M40" s="2057"/>
    </row>
    <row r="41" spans="1:18" ht="18" customHeight="1">
      <c r="A41" s="782"/>
      <c r="B41" s="783"/>
      <c r="C41" s="784"/>
      <c r="D41" s="817" t="s">
        <v>1802</v>
      </c>
      <c r="E41" s="780" t="s">
        <v>2961</v>
      </c>
      <c r="F41" s="818" t="e">
        <f ca="1">IF(INDIRECT("'数据-取费表'!af"&amp;$G$1)=0,INDIRECT("'数据-取费表'!ae"&amp;$G$1),INDIRECT("'数据-取费表'!af"&amp;$G$1))</f>
        <v>#N/A</v>
      </c>
      <c r="G41" s="2057"/>
      <c r="H41" s="1983"/>
      <c r="I41" s="839" t="s">
        <v>1814</v>
      </c>
      <c r="J41" s="842"/>
      <c r="K41" s="2077"/>
      <c r="L41" s="1983"/>
      <c r="M41" s="1983"/>
    </row>
    <row r="42" spans="1:18" ht="18" customHeight="1">
      <c r="A42" s="786"/>
      <c r="B42" s="787"/>
      <c r="C42" s="788"/>
      <c r="D42" s="812"/>
      <c r="E42" s="780" t="s">
        <v>1803</v>
      </c>
      <c r="F42" s="790" t="e">
        <f ca="1">INDIRECT("'数据-取费表'!v"&amp;$G$1)</f>
        <v>#N/A</v>
      </c>
      <c r="G42" s="2057"/>
      <c r="H42" s="1983"/>
      <c r="I42" s="843" t="s">
        <v>1815</v>
      </c>
      <c r="J42" s="841" t="e">
        <f ca="1">ROUND(C13/C40,3)</f>
        <v>#N/A</v>
      </c>
      <c r="K42" s="2077"/>
      <c r="L42" s="1983"/>
      <c r="M42" s="1983"/>
    </row>
    <row r="43" spans="1:18" ht="18" customHeight="1" thickBot="1">
      <c r="A43" s="819" t="s">
        <v>1781</v>
      </c>
      <c r="B43" s="820" t="s">
        <v>1804</v>
      </c>
      <c r="C43" s="821" t="e">
        <f ca="1">ROUND(C40*10000/F43,0)</f>
        <v>#N/A</v>
      </c>
      <c r="D43" s="822" t="s">
        <v>1805</v>
      </c>
      <c r="E43" s="823" t="s">
        <v>1806</v>
      </c>
      <c r="F43" s="824" t="e">
        <f ca="1">INDIRECT("'数据-取费表'!k"&amp;$G$1)</f>
        <v>#N/A</v>
      </c>
      <c r="G43" s="2057"/>
      <c r="H43" s="1983"/>
      <c r="I43" s="843" t="s">
        <v>1816</v>
      </c>
      <c r="J43" s="844" t="e">
        <f ca="1">1-J42</f>
        <v>#N/A</v>
      </c>
      <c r="K43" s="2077"/>
      <c r="L43" s="1983"/>
      <c r="M43" s="1983"/>
    </row>
    <row r="44" spans="1:18" s="2054" customFormat="1" ht="18" customHeight="1">
      <c r="A44" s="2080"/>
      <c r="B44" s="2080"/>
      <c r="C44" s="2097"/>
      <c r="D44" s="2080"/>
      <c r="E44" s="2080"/>
      <c r="F44" s="2080"/>
      <c r="K44" s="2081"/>
      <c r="Q44" s="2092"/>
    </row>
    <row r="45" spans="1:18" s="2054" customFormat="1" ht="18" customHeight="1" thickBot="1">
      <c r="A45" s="2080"/>
      <c r="B45" s="2080"/>
      <c r="C45" s="2097"/>
      <c r="D45" s="2080"/>
      <c r="E45" s="2080"/>
      <c r="F45" s="2080"/>
      <c r="K45" s="2081"/>
      <c r="Q45" s="2092"/>
    </row>
    <row r="46" spans="1:18" s="2054" customFormat="1" ht="18" customHeight="1" thickBot="1">
      <c r="A46" s="2225" t="s">
        <v>2290</v>
      </c>
      <c r="B46" s="2080"/>
      <c r="C46" s="2593" t="e">
        <f ca="1">C67-C40</f>
        <v>#N/A</v>
      </c>
      <c r="D46" s="2080"/>
      <c r="E46" s="2080"/>
      <c r="F46" s="2080"/>
      <c r="I46" s="2373" t="s">
        <v>2337</v>
      </c>
      <c r="J46" s="2374"/>
      <c r="K46" s="2375"/>
      <c r="L46" s="2376" t="e">
        <f ca="1">IF(M47="住宅",0,IF(L48&gt;J51,L60,J60))</f>
        <v>#N/A</v>
      </c>
      <c r="O46" s="2413" t="s">
        <v>2405</v>
      </c>
      <c r="P46" s="1587"/>
      <c r="Q46" s="1599"/>
      <c r="R46" s="1587"/>
    </row>
    <row r="47" spans="1:18" s="2054" customFormat="1" ht="18" customHeight="1" thickBot="1">
      <c r="A47" s="2367">
        <v>1</v>
      </c>
      <c r="B47" s="2368" t="s">
        <v>629</v>
      </c>
      <c r="C47" s="2593" t="e">
        <f ca="1">C48+C52+C54</f>
        <v>#N/A</v>
      </c>
      <c r="D47" s="2080"/>
      <c r="E47" s="2080"/>
      <c r="F47" s="2080"/>
      <c r="I47" s="2377" t="s">
        <v>2338</v>
      </c>
      <c r="J47" s="2382" t="s">
        <v>3005</v>
      </c>
      <c r="K47" s="2383" t="s">
        <v>2344</v>
      </c>
      <c r="L47" s="2384" t="e">
        <f ca="1">INDIRECT("'数据-取费表'!d"&amp;$G$1)</f>
        <v>#N/A</v>
      </c>
      <c r="M47" s="1599" t="str">
        <f>IF(ISNUMBER(FIND("住宅",C1)),"住宅","非住宅")</f>
        <v>非住宅</v>
      </c>
      <c r="O47" s="2414" t="s">
        <v>2370</v>
      </c>
      <c r="P47" s="2415" t="s">
        <v>2371</v>
      </c>
      <c r="Q47" s="2416" t="s">
        <v>2372</v>
      </c>
      <c r="R47" s="2415" t="s">
        <v>2373</v>
      </c>
    </row>
    <row r="48" spans="1:18" s="2054" customFormat="1" ht="18" customHeight="1" thickBot="1">
      <c r="A48" s="2662" t="s">
        <v>2534</v>
      </c>
      <c r="B48" s="2663" t="s">
        <v>2535</v>
      </c>
      <c r="C48" s="2369" t="e">
        <f ca="1">ROUND(F48*F50*F49*(1-F51)/10000,0)</f>
        <v>#N/A</v>
      </c>
      <c r="D48" s="2370" t="s">
        <v>630</v>
      </c>
      <c r="E48" s="2371" t="s">
        <v>2291</v>
      </c>
      <c r="F48" s="2372"/>
      <c r="G48" s="2085"/>
      <c r="I48" s="2378" t="s">
        <v>2339</v>
      </c>
      <c r="J48" s="2385" t="s">
        <v>2345</v>
      </c>
      <c r="K48" s="2386" t="s">
        <v>2346</v>
      </c>
      <c r="L48" s="2387" t="e">
        <f ca="1">INDIRECT("'数据-取费表'!f"&amp;$G$1)</f>
        <v>#N/A</v>
      </c>
      <c r="O48" s="2417" t="s">
        <v>2374</v>
      </c>
      <c r="P48" s="2418" t="s">
        <v>2400</v>
      </c>
      <c r="Q48" s="2419" t="e">
        <f ca="1">C40+J29</f>
        <v>#N/A</v>
      </c>
      <c r="R48" s="2418" t="s">
        <v>2375</v>
      </c>
    </row>
    <row r="49" spans="1:18" s="2054" customFormat="1" ht="18" customHeight="1" thickBot="1">
      <c r="A49" s="782"/>
      <c r="B49" s="783"/>
      <c r="C49" s="784"/>
      <c r="D49" s="785"/>
      <c r="E49" s="780" t="s">
        <v>1733</v>
      </c>
      <c r="F49" s="781" t="e">
        <f ca="1">F7</f>
        <v>#N/A</v>
      </c>
      <c r="G49" s="2085"/>
      <c r="H49" s="2088"/>
      <c r="I49" s="2378" t="s">
        <v>2340</v>
      </c>
      <c r="J49" s="2388">
        <v>2019</v>
      </c>
      <c r="K49" s="2389" t="s">
        <v>2347</v>
      </c>
      <c r="L49" s="2390"/>
      <c r="O49" s="2417" t="s">
        <v>2376</v>
      </c>
      <c r="P49" s="2418" t="s">
        <v>2401</v>
      </c>
      <c r="Q49" s="2419" t="e">
        <f ca="1">J60</f>
        <v>#N/A</v>
      </c>
      <c r="R49" s="2418" t="s">
        <v>2377</v>
      </c>
    </row>
    <row r="50" spans="1:18" s="2054" customFormat="1" ht="18" customHeight="1" thickBot="1">
      <c r="A50" s="782"/>
      <c r="B50" s="783"/>
      <c r="C50" s="784"/>
      <c r="D50" s="785"/>
      <c r="E50" s="780" t="s">
        <v>1734</v>
      </c>
      <c r="F50" s="781" t="e">
        <f ca="1">F8</f>
        <v>#N/A</v>
      </c>
      <c r="G50" s="2090"/>
      <c r="H50" s="2088"/>
      <c r="I50" s="2378" t="s">
        <v>2341</v>
      </c>
      <c r="J50" s="2391">
        <f>SUMPRODUCT((I63:I65=J47)*(J62:L62=J48)*(J63:L65))</f>
        <v>60</v>
      </c>
      <c r="K50" s="2389" t="s">
        <v>2348</v>
      </c>
      <c r="L50" s="2390"/>
      <c r="O50" s="2420" t="s">
        <v>2378</v>
      </c>
      <c r="P50" s="2418" t="s">
        <v>2402</v>
      </c>
      <c r="Q50" s="2419" t="e">
        <f ca="1">C29</f>
        <v>#N/A</v>
      </c>
      <c r="R50" s="2418" t="s">
        <v>2375</v>
      </c>
    </row>
    <row r="51" spans="1:18" s="2054" customFormat="1" ht="18" customHeight="1" thickBot="1">
      <c r="A51" s="782"/>
      <c r="B51" s="783"/>
      <c r="C51" s="784"/>
      <c r="D51" s="785"/>
      <c r="E51" s="780" t="s">
        <v>634</v>
      </c>
      <c r="F51" s="2366"/>
      <c r="H51" s="2088"/>
      <c r="I51" s="2379" t="s">
        <v>2342</v>
      </c>
      <c r="J51" s="2392">
        <f>IF(J49="",J50,J49+J50-YEAR('数据-取费表'!B2))</f>
        <v>62</v>
      </c>
      <c r="K51" s="2378" t="s">
        <v>2349</v>
      </c>
      <c r="L51" s="2393" t="e">
        <f ca="1">ROUND(-PV(INDIRECT("'数据-取费表'!h"&amp;$G$1),L48,(C39-C13*J36),0),0)</f>
        <v>#N/A</v>
      </c>
      <c r="O51" s="2420" t="s">
        <v>2379</v>
      </c>
      <c r="P51" s="2418" t="s">
        <v>2380</v>
      </c>
      <c r="Q51" s="2421" t="e">
        <f ca="1">J58</f>
        <v>#N/A</v>
      </c>
      <c r="R51" s="2422"/>
    </row>
    <row r="52" spans="1:18" s="2054" customFormat="1" ht="18" customHeight="1" thickBot="1">
      <c r="A52" s="777" t="s">
        <v>2533</v>
      </c>
      <c r="B52" s="2513" t="s">
        <v>2455</v>
      </c>
      <c r="C52" s="795">
        <f ca="1">ROUND(IF(F52="押一",F48*F50*F49/12*F11,IF(F52="押二",F48*F50*F49/12*2*F11,IF(F52="押三",F48*F50*F49/12*3*F11,C53*F11)))/10000,0)</f>
        <v>0</v>
      </c>
      <c r="D52" s="2520" t="s">
        <v>2462</v>
      </c>
      <c r="E52" s="2517" t="s">
        <v>2460</v>
      </c>
      <c r="F52" s="2640"/>
      <c r="I52" s="2380" t="s">
        <v>2416</v>
      </c>
      <c r="J52" s="2394">
        <v>0.08</v>
      </c>
      <c r="K52" s="2380" t="s">
        <v>2415</v>
      </c>
      <c r="L52" s="2394"/>
      <c r="O52" s="2420" t="s">
        <v>2381</v>
      </c>
      <c r="P52" s="2418" t="s">
        <v>2382</v>
      </c>
      <c r="Q52" s="2421">
        <f>J52</f>
        <v>0.08</v>
      </c>
      <c r="R52" s="2422"/>
    </row>
    <row r="53" spans="1:18" s="2054" customFormat="1" ht="39.75" customHeight="1" thickBot="1">
      <c r="A53" s="782"/>
      <c r="B53" s="2514" t="s">
        <v>2570</v>
      </c>
      <c r="C53" s="2518"/>
      <c r="D53" s="2520"/>
      <c r="E53" s="2517"/>
      <c r="F53" s="796"/>
      <c r="I53" s="2381" t="s">
        <v>2343</v>
      </c>
      <c r="J53" s="2395" t="e">
        <f ca="1">IF(M47="住宅",J51,IF(D1="——",MIN(J51,L48),IF(D1="土地（套用方法）",MIN(J51,L48-'数据-取费表'!B20))))</f>
        <v>#N/A</v>
      </c>
      <c r="K53" s="3544" t="s">
        <v>2963</v>
      </c>
      <c r="L53" s="3545"/>
      <c r="O53" s="2420" t="s">
        <v>2383</v>
      </c>
      <c r="P53" s="2418" t="s">
        <v>2384</v>
      </c>
      <c r="Q53" s="2419" t="e">
        <f ca="1">J53</f>
        <v>#N/A</v>
      </c>
      <c r="R53" s="2418" t="s">
        <v>2385</v>
      </c>
    </row>
    <row r="54" spans="1:18" s="2054" customFormat="1" ht="18" customHeight="1" thickBot="1">
      <c r="A54" s="2556" t="s">
        <v>2464</v>
      </c>
      <c r="B54" s="2557" t="s">
        <v>2456</v>
      </c>
      <c r="C54" s="2558"/>
      <c r="D54" s="2520"/>
      <c r="E54" s="2517"/>
      <c r="F54" s="796"/>
      <c r="I54" s="205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1"/>
      <c r="O54" s="2417" t="s">
        <v>2386</v>
      </c>
      <c r="P54" s="2418" t="s">
        <v>2403</v>
      </c>
      <c r="Q54" s="2419" t="e">
        <f ca="1">Q48+Q49</f>
        <v>#N/A</v>
      </c>
      <c r="R54" s="2422" t="s">
        <v>2387</v>
      </c>
    </row>
    <row r="55" spans="1:18" s="2054" customFormat="1" ht="18" customHeight="1" thickTop="1" thickBot="1">
      <c r="A55" s="793">
        <v>2</v>
      </c>
      <c r="B55" s="794" t="s">
        <v>638</v>
      </c>
      <c r="C55" s="795" t="e">
        <f ca="1">C13</f>
        <v>#N/A</v>
      </c>
      <c r="D55" s="791"/>
      <c r="E55" s="791"/>
      <c r="F55" s="796"/>
      <c r="I55" s="3119" t="s">
        <v>2350</v>
      </c>
      <c r="J55" s="3118" t="e">
        <f ca="1">ROUND(IF(J47="钢混",J57/J50,1-(1-2%)*(J50-J57)/J50),3)</f>
        <v>#N/A</v>
      </c>
      <c r="K55" s="2396" t="s">
        <v>2351</v>
      </c>
      <c r="L55" s="2397"/>
      <c r="O55" s="2423" t="s">
        <v>2406</v>
      </c>
      <c r="P55" s="1587"/>
      <c r="Q55" s="1599"/>
      <c r="R55" s="1587"/>
    </row>
    <row r="56" spans="1:18" s="2054" customFormat="1" ht="42.75" customHeight="1" thickBot="1">
      <c r="A56" s="1645"/>
      <c r="B56" s="2226" t="s">
        <v>2297</v>
      </c>
      <c r="C56" s="53" t="e">
        <f ca="1">C29</f>
        <v>#N/A</v>
      </c>
      <c r="D56" s="3177"/>
      <c r="E56" s="780"/>
      <c r="F56" s="805"/>
      <c r="I56" s="2398" t="s">
        <v>2352</v>
      </c>
      <c r="J56" s="3142" t="s">
        <v>1672</v>
      </c>
      <c r="K56" s="2378" t="s">
        <v>2357</v>
      </c>
      <c r="L56" s="2387" t="e">
        <f ca="1">IF(L48&lt;J51,"——",L48-J51)</f>
        <v>#N/A</v>
      </c>
      <c r="O56" s="2414" t="s">
        <v>2370</v>
      </c>
      <c r="P56" s="2415" t="s">
        <v>2371</v>
      </c>
      <c r="Q56" s="2416" t="s">
        <v>2372</v>
      </c>
      <c r="R56" s="2415" t="s">
        <v>2373</v>
      </c>
    </row>
    <row r="57" spans="1:18" s="2054" customFormat="1" ht="28.5" customHeight="1" thickBot="1">
      <c r="A57" s="793" t="s">
        <v>1742</v>
      </c>
      <c r="B57" s="794" t="s">
        <v>645</v>
      </c>
      <c r="C57" s="795" t="e">
        <f ca="1">ROUND(C58+C63+C64+C65,0)</f>
        <v>#N/A</v>
      </c>
      <c r="D57" s="26" t="s">
        <v>1744</v>
      </c>
      <c r="E57" s="3187"/>
      <c r="F57" s="56"/>
      <c r="I57" s="2399" t="s">
        <v>2353</v>
      </c>
      <c r="J57" s="2401" t="e">
        <f ca="1">IF(OR(M47="住宅",J51&lt;L48,J56="是"),"——",J51-L48)</f>
        <v>#N/A</v>
      </c>
      <c r="K57" s="2378" t="s">
        <v>2358</v>
      </c>
      <c r="L57" s="2387" t="e">
        <f ca="1">IF(L48&lt;J51,"——",IF(L55="比较法",L49,IF(L55="基准地价",L50,L51)))</f>
        <v>#N/A</v>
      </c>
      <c r="O57" s="2417" t="s">
        <v>2374</v>
      </c>
      <c r="P57" s="2418" t="s">
        <v>2404</v>
      </c>
      <c r="Q57" s="2419" t="e">
        <f ca="1">C40+J29</f>
        <v>#N/A</v>
      </c>
      <c r="R57" s="2418" t="s">
        <v>2375</v>
      </c>
    </row>
    <row r="58" spans="1:18" s="2054" customFormat="1" ht="28.5" customHeight="1" thickBot="1">
      <c r="A58" s="1644" t="s">
        <v>1818</v>
      </c>
      <c r="B58" s="780" t="s">
        <v>650</v>
      </c>
      <c r="C58" s="53" t="e">
        <f ca="1">ROUND(IF(项目基本情况!B11="自然人",C47*F58,C59+C60+C61),1)</f>
        <v>#N/A</v>
      </c>
      <c r="D58" s="3179" t="s">
        <v>651</v>
      </c>
      <c r="E58" s="3177" t="s">
        <v>684</v>
      </c>
      <c r="F58" s="806" t="str">
        <f ca="1">IF(项目基本情况!B11="企业","",IF(INDIRECT("'数据-取费表'!c"&amp;$G$1)="住宅",5%,IF(F48*F49*F50/12/(1+'数据-取费表'!C42)&gt;20000,12%,7%)))</f>
        <v/>
      </c>
      <c r="I58" s="2399" t="s">
        <v>2354</v>
      </c>
      <c r="J58" s="3120" t="e">
        <f ca="1">IF(J55&lt;0.4,0.4,J55)</f>
        <v>#N/A</v>
      </c>
      <c r="K58" s="2378" t="s">
        <v>2359</v>
      </c>
      <c r="L58" s="2387" t="e">
        <f ca="1">ROUND(POWER(1+L52,L47-L48)*(POWER(1+L52,L48)-1)/(POWER(1+L52,L47)-1),4)</f>
        <v>#N/A</v>
      </c>
      <c r="O58" s="2417" t="s">
        <v>2376</v>
      </c>
      <c r="P58" s="2418" t="s">
        <v>2407</v>
      </c>
      <c r="Q58" s="2419" t="e">
        <f ca="1">L60</f>
        <v>#N/A</v>
      </c>
      <c r="R58" s="2422" t="s">
        <v>2409</v>
      </c>
    </row>
    <row r="59" spans="1:18" s="2054" customFormat="1" ht="28.5" customHeight="1" thickBot="1">
      <c r="A59" s="1643" t="s">
        <v>1825</v>
      </c>
      <c r="B59" s="780" t="s">
        <v>654</v>
      </c>
      <c r="C59" s="53" t="e">
        <f ca="1">ROUND(C47*F59/1.05,1)</f>
        <v>#N/A</v>
      </c>
      <c r="D59" s="3177" t="s">
        <v>1750</v>
      </c>
      <c r="E59" s="780" t="s">
        <v>1741</v>
      </c>
      <c r="F59" s="805">
        <f t="shared" ref="F59:F65" si="0">F32</f>
        <v>5.6000000000000001E-2</v>
      </c>
      <c r="I59" s="2399" t="s">
        <v>2355</v>
      </c>
      <c r="J59" s="2401" t="e">
        <f ca="1">IF(OR(M47="住宅",J51&lt;L48,J56="是"),"——",ROUND(C29*J58,0))</f>
        <v>#N/A</v>
      </c>
      <c r="K59" s="3149" t="str">
        <f>IF(D1="——","建筑物剩余耐用年限下的土地年期修正系数Kn","建设期及建筑物耐用年限下的土地年期修正系数Kn")</f>
        <v>建筑物剩余耐用年限下的土地年期修正系数Kn</v>
      </c>
      <c r="L59" s="2387" t="e">
        <f ca="1">ROUND(IF(D1="土地（套用方法）",POWER(1+L52,L47-(J51+'数据-取费表'!B20))*(POWER(1+L52,(J51+'数据-取费表'!B20))-1)/(POWER(1+L52,L47)-1),POWER(1+L52,L47-J51)*(POWER(1+L52,J51)-1)/(POWER(1+L52,L47)-1)),4)</f>
        <v>#N/A</v>
      </c>
      <c r="O59" s="2420" t="s">
        <v>2378</v>
      </c>
      <c r="P59" s="2418" t="s">
        <v>2408</v>
      </c>
      <c r="Q59" s="2419">
        <f>IF(L55="比较法",L49,IF(L55="基准地价",L50,0))</f>
        <v>0</v>
      </c>
      <c r="R59" s="2418" t="s">
        <v>2375</v>
      </c>
    </row>
    <row r="60" spans="1:18" s="2054" customFormat="1" ht="18" customHeight="1" thickBot="1">
      <c r="A60" s="1643" t="s">
        <v>1826</v>
      </c>
      <c r="B60" s="780" t="s">
        <v>1752</v>
      </c>
      <c r="C60" s="53" t="e">
        <f ca="1">IF(D60="按租金收入计税",ROUND(C47*F60,1),IF(D60="按房产原值计税",ROUND(C56*F60*0.7,1),INDIRECT("'数据-取费表'!Aj"&amp;$G$1)))</f>
        <v>#N/A</v>
      </c>
      <c r="D60" s="3177" t="str">
        <f>D33</f>
        <v>按房产原值计税</v>
      </c>
      <c r="E60" s="780" t="s">
        <v>1741</v>
      </c>
      <c r="F60" s="805">
        <f t="shared" si="0"/>
        <v>1.2E-2</v>
      </c>
      <c r="I60" s="2400" t="s">
        <v>2356</v>
      </c>
      <c r="J60" s="2402" t="e">
        <f ca="1">IF(OR(M47="住宅",J51&lt;L48,J56="是"),"0",ROUND(J59/(1+J52)^J53,0))</f>
        <v>#N/A</v>
      </c>
      <c r="K60" s="2403" t="s">
        <v>2361</v>
      </c>
      <c r="L60" s="2402" t="e">
        <f ca="1">IF(OR(M47="住宅",L48&lt;J51),0,ROUND(L57*(L58/L59-1),0))</f>
        <v>#N/A</v>
      </c>
      <c r="O60" s="2420" t="s">
        <v>2379</v>
      </c>
      <c r="P60" s="2418" t="s">
        <v>2388</v>
      </c>
      <c r="Q60" s="2421">
        <f>L52</f>
        <v>0</v>
      </c>
      <c r="R60" s="2422"/>
    </row>
    <row r="61" spans="1:18" s="2054" customFormat="1" ht="18" customHeight="1" thickBot="1">
      <c r="A61" s="1646" t="s">
        <v>1827</v>
      </c>
      <c r="B61" s="339" t="s">
        <v>662</v>
      </c>
      <c r="C61" s="54" t="e">
        <f ca="1">ROUND(F61*F62/10000,1)</f>
        <v>#N/A</v>
      </c>
      <c r="D61" s="810" t="s">
        <v>663</v>
      </c>
      <c r="E61" s="780" t="s">
        <v>664</v>
      </c>
      <c r="F61" s="636">
        <f t="shared" si="0"/>
        <v>20</v>
      </c>
      <c r="K61" s="2081"/>
      <c r="O61" s="2420" t="s">
        <v>2381</v>
      </c>
      <c r="P61" s="2418" t="s">
        <v>2389</v>
      </c>
      <c r="Q61" s="2419" t="e">
        <f ca="1">L58</f>
        <v>#N/A</v>
      </c>
      <c r="R61" s="2422" t="s">
        <v>2390</v>
      </c>
    </row>
    <row r="62" spans="1:18" s="2054" customFormat="1" ht="15.75" thickBot="1">
      <c r="A62" s="811"/>
      <c r="B62" s="789"/>
      <c r="C62" s="69"/>
      <c r="D62" s="812"/>
      <c r="E62" s="780" t="s">
        <v>668</v>
      </c>
      <c r="F62" s="781" t="e">
        <f t="shared" ca="1" si="0"/>
        <v>#N/A</v>
      </c>
      <c r="I62" s="2404" t="s">
        <v>2362</v>
      </c>
      <c r="J62" s="2405" t="s">
        <v>2363</v>
      </c>
      <c r="K62" s="2405" t="s">
        <v>2364</v>
      </c>
      <c r="L62" s="2405" t="s">
        <v>2345</v>
      </c>
      <c r="M62" s="3121" t="s">
        <v>2938</v>
      </c>
      <c r="O62" s="2420" t="s">
        <v>2383</v>
      </c>
      <c r="P62" s="2418" t="str">
        <f>K59</f>
        <v>建筑物剩余耐用年限下的土地年期修正系数Kn</v>
      </c>
      <c r="Q62" s="2419" t="e">
        <f ca="1">L59</f>
        <v>#N/A</v>
      </c>
      <c r="R62" s="2422" t="s">
        <v>2392</v>
      </c>
    </row>
    <row r="63" spans="1:18" s="2054" customFormat="1" ht="15.75" thickBot="1">
      <c r="A63" s="1644" t="s">
        <v>1883</v>
      </c>
      <c r="B63" s="780" t="s">
        <v>670</v>
      </c>
      <c r="C63" s="53" t="e">
        <f ca="1">ROUND(C56*F63,1)</f>
        <v>#N/A</v>
      </c>
      <c r="D63" s="3177" t="s">
        <v>1797</v>
      </c>
      <c r="E63" s="780" t="s">
        <v>1741</v>
      </c>
      <c r="F63" s="813" t="e">
        <f t="shared" ca="1" si="0"/>
        <v>#N/A</v>
      </c>
      <c r="I63" s="2404" t="s">
        <v>2365</v>
      </c>
      <c r="J63" s="2405">
        <v>70</v>
      </c>
      <c r="K63" s="2405">
        <v>50</v>
      </c>
      <c r="L63" s="2405">
        <v>80</v>
      </c>
      <c r="M63" s="3122">
        <v>0.02</v>
      </c>
      <c r="O63" s="2417" t="s">
        <v>2386</v>
      </c>
      <c r="P63" s="2418" t="s">
        <v>2403</v>
      </c>
      <c r="Q63" s="2419" t="e">
        <f ca="1">Q57+Q58</f>
        <v>#N/A</v>
      </c>
      <c r="R63" s="2422" t="s">
        <v>2387</v>
      </c>
    </row>
    <row r="64" spans="1:18" s="2054" customFormat="1" ht="16.5" thickBot="1">
      <c r="A64" s="1644" t="s">
        <v>1884</v>
      </c>
      <c r="B64" s="780" t="s">
        <v>673</v>
      </c>
      <c r="C64" s="53" t="e">
        <f ca="1">ROUND(C55*F64,1)</f>
        <v>#N/A</v>
      </c>
      <c r="D64" s="3177" t="s">
        <v>674</v>
      </c>
      <c r="E64" s="780" t="s">
        <v>1741</v>
      </c>
      <c r="F64" s="814" t="e">
        <f t="shared" ca="1" si="0"/>
        <v>#N/A</v>
      </c>
      <c r="I64" s="2404" t="s">
        <v>2366</v>
      </c>
      <c r="J64" s="2405">
        <v>50</v>
      </c>
      <c r="K64" s="2405">
        <v>35</v>
      </c>
      <c r="L64" s="2405">
        <v>60</v>
      </c>
      <c r="M64" s="3123">
        <v>0</v>
      </c>
      <c r="O64" s="2423" t="s">
        <v>2410</v>
      </c>
      <c r="P64" s="1587"/>
      <c r="Q64" s="1599"/>
      <c r="R64" s="1587"/>
    </row>
    <row r="65" spans="1:18" s="2054" customFormat="1" ht="15.75" thickBot="1">
      <c r="A65" s="1644" t="s">
        <v>1885</v>
      </c>
      <c r="B65" s="780" t="s">
        <v>660</v>
      </c>
      <c r="C65" s="53" t="e">
        <f ca="1">ROUND(C47*F65,1)</f>
        <v>#N/A</v>
      </c>
      <c r="D65" s="3177" t="s">
        <v>677</v>
      </c>
      <c r="E65" s="780" t="s">
        <v>1741</v>
      </c>
      <c r="F65" s="790" t="e">
        <f t="shared" ca="1" si="0"/>
        <v>#N/A</v>
      </c>
      <c r="I65" s="2404" t="s">
        <v>2367</v>
      </c>
      <c r="J65" s="2405">
        <v>40</v>
      </c>
      <c r="K65" s="2405">
        <v>30</v>
      </c>
      <c r="L65" s="2405">
        <v>50</v>
      </c>
      <c r="M65" s="3122">
        <v>0.02</v>
      </c>
      <c r="O65" s="2414" t="s">
        <v>2370</v>
      </c>
      <c r="P65" s="2415" t="s">
        <v>2371</v>
      </c>
      <c r="Q65" s="2416" t="s">
        <v>2372</v>
      </c>
      <c r="R65" s="2415" t="s">
        <v>2373</v>
      </c>
    </row>
    <row r="66" spans="1:18" s="2054" customFormat="1" ht="24.75" thickBot="1">
      <c r="A66" s="793" t="s">
        <v>1770</v>
      </c>
      <c r="B66" s="3032" t="s">
        <v>2821</v>
      </c>
      <c r="C66" s="795" t="e">
        <f ca="1">C47-C57</f>
        <v>#N/A</v>
      </c>
      <c r="D66" s="3179" t="s">
        <v>694</v>
      </c>
      <c r="E66" s="3182"/>
      <c r="F66" s="816"/>
      <c r="K66" s="2081"/>
      <c r="O66" s="2417" t="s">
        <v>2374</v>
      </c>
      <c r="P66" s="2418" t="s">
        <v>2404</v>
      </c>
      <c r="Q66" s="2419" t="e">
        <f ca="1">C40+J29</f>
        <v>#N/A</v>
      </c>
      <c r="R66" s="2418" t="s">
        <v>2375</v>
      </c>
    </row>
    <row r="67" spans="1:18" s="2054" customFormat="1" ht="20.25" thickBot="1">
      <c r="A67" s="777" t="s">
        <v>1774</v>
      </c>
      <c r="B67" s="2227" t="s">
        <v>2296</v>
      </c>
      <c r="C67" s="779" t="e">
        <f ca="1">ROUND(C66*(1-((1+F69)/(1+F67))^F68)/(F67-F69),0)</f>
        <v>#N/A</v>
      </c>
      <c r="D67" s="810" t="s">
        <v>698</v>
      </c>
      <c r="E67" s="780" t="s">
        <v>699</v>
      </c>
      <c r="F67" s="790" t="e">
        <f ca="1">F40</f>
        <v>#N/A</v>
      </c>
      <c r="K67" s="2081"/>
      <c r="O67" s="2417" t="s">
        <v>2376</v>
      </c>
      <c r="P67" s="2418" t="s">
        <v>2407</v>
      </c>
      <c r="Q67" s="2419" t="e">
        <f ca="1">L60</f>
        <v>#N/A</v>
      </c>
      <c r="R67" s="2422" t="s">
        <v>2409</v>
      </c>
    </row>
    <row r="68" spans="1:18" ht="21.75" thickBot="1">
      <c r="A68" s="782"/>
      <c r="B68" s="783"/>
      <c r="C68" s="784"/>
      <c r="D68" s="817" t="s">
        <v>1802</v>
      </c>
      <c r="E68" s="780" t="s">
        <v>1778</v>
      </c>
      <c r="F68" s="818" t="e">
        <f ca="1">F41</f>
        <v>#N/A</v>
      </c>
      <c r="O68" s="2420" t="s">
        <v>2378</v>
      </c>
      <c r="P68" s="2418" t="s">
        <v>2408</v>
      </c>
      <c r="Q68" s="2424" t="e">
        <f ca="1">L51</f>
        <v>#N/A</v>
      </c>
      <c r="R68" s="2425" t="s">
        <v>2411</v>
      </c>
    </row>
    <row r="69" spans="1:18" ht="20.25" thickBot="1">
      <c r="A69" s="786"/>
      <c r="B69" s="787"/>
      <c r="C69" s="788"/>
      <c r="D69" s="812"/>
      <c r="E69" s="780" t="s">
        <v>704</v>
      </c>
      <c r="F69" s="2366"/>
      <c r="O69" s="2420" t="s">
        <v>2379</v>
      </c>
      <c r="P69" s="2426" t="s">
        <v>2393</v>
      </c>
      <c r="Q69" s="2419" t="e">
        <f ca="1">ROUND(Q70-Q71*Q72,0)</f>
        <v>#N/A</v>
      </c>
      <c r="R69" s="2422"/>
    </row>
    <row r="70" spans="1:18" ht="15.75" thickBot="1">
      <c r="A70" s="819" t="s">
        <v>1781</v>
      </c>
      <c r="B70" s="820" t="s">
        <v>1804</v>
      </c>
      <c r="C70" s="821" t="e">
        <f ca="1">ROUND(C67*10000/F70,0)</f>
        <v>#N/A</v>
      </c>
      <c r="D70" s="822" t="s">
        <v>1805</v>
      </c>
      <c r="E70" s="823" t="s">
        <v>1806</v>
      </c>
      <c r="F70" s="824" t="e">
        <f ca="1">F43</f>
        <v>#N/A</v>
      </c>
      <c r="O70" s="2420" t="s">
        <v>2394</v>
      </c>
      <c r="P70" s="2426" t="s">
        <v>2395</v>
      </c>
      <c r="Q70" s="2419" t="e">
        <f ca="1">C39</f>
        <v>#N/A</v>
      </c>
      <c r="R70" s="2418" t="s">
        <v>2375</v>
      </c>
    </row>
    <row r="71" spans="1:18" ht="15.75" thickBot="1">
      <c r="O71" s="2420" t="s">
        <v>2396</v>
      </c>
      <c r="P71" s="2426" t="s">
        <v>2397</v>
      </c>
      <c r="Q71" s="2419" t="e">
        <f ca="1">C13</f>
        <v>#N/A</v>
      </c>
      <c r="R71" s="2418" t="s">
        <v>2375</v>
      </c>
    </row>
    <row r="72" spans="1:18" ht="15.75" thickBot="1">
      <c r="O72" s="2420" t="s">
        <v>2398</v>
      </c>
      <c r="P72" s="2426" t="s">
        <v>2399</v>
      </c>
      <c r="Q72" s="2421" t="e">
        <f ca="1">J36</f>
        <v>#N/A</v>
      </c>
      <c r="R72" s="2422"/>
    </row>
    <row r="73" spans="1:18" ht="15.75" thickBot="1">
      <c r="O73" s="2420" t="s">
        <v>2381</v>
      </c>
      <c r="P73" s="2418" t="s">
        <v>2388</v>
      </c>
      <c r="Q73" s="2421">
        <f>L52</f>
        <v>0</v>
      </c>
      <c r="R73" s="2422"/>
    </row>
    <row r="74" spans="1:18" ht="20.25" thickBot="1">
      <c r="O74" s="2420" t="s">
        <v>2383</v>
      </c>
      <c r="P74" s="2418" t="s">
        <v>2389</v>
      </c>
      <c r="Q74" s="2419" t="e">
        <f ca="1">L58</f>
        <v>#N/A</v>
      </c>
      <c r="R74" s="2422" t="s">
        <v>2390</v>
      </c>
    </row>
    <row r="75" spans="1:18" ht="15.75" thickBot="1">
      <c r="O75" s="2420" t="s">
        <v>2412</v>
      </c>
      <c r="P75" s="2418" t="str">
        <f>K59</f>
        <v>建筑物剩余耐用年限下的土地年期修正系数Kn</v>
      </c>
      <c r="Q75" s="2419" t="e">
        <f ca="1">L59</f>
        <v>#N/A</v>
      </c>
      <c r="R75" s="2422" t="s">
        <v>2392</v>
      </c>
    </row>
    <row r="76" spans="1:18" ht="15.75" thickBot="1">
      <c r="O76" s="2417" t="s">
        <v>2386</v>
      </c>
      <c r="P76" s="2418" t="s">
        <v>2403</v>
      </c>
      <c r="Q76" s="2419" t="e">
        <f ca="1">Q66+Q67</f>
        <v>#N/A</v>
      </c>
      <c r="R76" s="2422" t="s">
        <v>2387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3" priority="6">
      <formula>$L$48&gt;$J$51</formula>
    </cfRule>
  </conditionalFormatting>
  <conditionalFormatting sqref="I55">
    <cfRule type="expression" dxfId="12" priority="7">
      <formula>$J$51&gt;$L$48</formula>
    </cfRule>
  </conditionalFormatting>
  <conditionalFormatting sqref="I60">
    <cfRule type="expression" dxfId="11" priority="5">
      <formula>$J$51&gt;$L$48</formula>
    </cfRule>
  </conditionalFormatting>
  <conditionalFormatting sqref="K60">
    <cfRule type="expression" dxfId="10" priority="4">
      <formula>$L$48&gt;$J$51</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82"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75" zoomScaleNormal="75" workbookViewId="0">
      <selection activeCell="C14" sqref="C14"/>
    </sheetView>
  </sheetViews>
  <sheetFormatPr defaultRowHeight="15"/>
  <cols>
    <col min="1" max="1" width="9" style="2055" customWidth="1"/>
    <col min="2" max="2" width="20.625" style="2094" customWidth="1"/>
    <col min="3" max="3" width="11.875" style="2094" customWidth="1"/>
    <col min="4" max="4" width="40.5" style="2055" customWidth="1"/>
    <col min="5" max="5" width="15.75" style="2055" customWidth="1"/>
    <col min="6" max="6" width="10.625" style="2055" customWidth="1"/>
    <col min="7" max="7" width="4.875" style="2055" customWidth="1"/>
    <col min="8" max="8" width="8.5" style="2055" customWidth="1"/>
    <col min="9" max="9" width="21.25" style="2055" customWidth="1"/>
    <col min="10" max="10" width="12.25" style="2055" customWidth="1"/>
    <col min="11" max="11" width="40.125" style="2095" customWidth="1"/>
    <col min="12" max="12" width="18.375" style="2055" customWidth="1"/>
    <col min="13" max="13" width="13" style="2055" customWidth="1"/>
    <col min="14" max="14" width="9.5" style="2054" bestFit="1" customWidth="1"/>
    <col min="15" max="15" width="5.875" style="2054" customWidth="1"/>
    <col min="16" max="16" width="27.625" style="2054" customWidth="1"/>
    <col min="17" max="17" width="13.75" style="2092" customWidth="1"/>
    <col min="18" max="18" width="23.5" style="2054" customWidth="1"/>
    <col min="19" max="19" width="1.5" style="2054" customWidth="1"/>
    <col min="20" max="33" width="9" style="2054"/>
    <col min="34" max="16384" width="9" style="2055"/>
  </cols>
  <sheetData>
    <row r="1" spans="1:33" s="2049" customFormat="1" ht="21">
      <c r="A1" s="828" t="s">
        <v>1719</v>
      </c>
      <c r="B1" s="734"/>
      <c r="C1" s="769" t="s">
        <v>3119</v>
      </c>
      <c r="D1" s="3148" t="s">
        <v>945</v>
      </c>
      <c r="E1" s="2406" t="s">
        <v>2369</v>
      </c>
      <c r="F1" s="2407">
        <f ca="1">J53</f>
        <v>49.69</v>
      </c>
      <c r="G1" s="770">
        <f>MATCH(C1,'数据-取费表'!A6:A16,0)+5</f>
        <v>12</v>
      </c>
      <c r="H1" s="2045"/>
      <c r="I1" s="2046"/>
      <c r="J1" s="2046"/>
      <c r="K1" s="2047"/>
      <c r="L1" s="2046"/>
      <c r="M1" s="2046"/>
      <c r="N1" s="2048"/>
      <c r="O1" s="2048"/>
      <c r="P1" s="2048"/>
      <c r="Q1" s="2411"/>
      <c r="R1" s="2048"/>
      <c r="S1" s="2048"/>
      <c r="T1" s="2048"/>
      <c r="U1" s="2048"/>
      <c r="V1" s="2048"/>
      <c r="W1" s="2048"/>
      <c r="X1" s="2048"/>
      <c r="Y1" s="2048"/>
      <c r="Z1" s="2048"/>
      <c r="AA1" s="2048"/>
      <c r="AB1" s="2048"/>
      <c r="AC1" s="2048"/>
      <c r="AD1" s="2048"/>
      <c r="AE1" s="2048"/>
      <c r="AF1" s="2048"/>
      <c r="AG1" s="2048"/>
    </row>
    <row r="2" spans="1:33" ht="18" customHeight="1">
      <c r="A2" s="421" t="s">
        <v>1720</v>
      </c>
      <c r="B2" s="771">
        <f ca="1">C40+J29+L46</f>
        <v>49879</v>
      </c>
      <c r="C2" s="2052"/>
      <c r="D2" s="2050"/>
      <c r="E2" s="2051"/>
      <c r="F2" s="2051"/>
      <c r="G2" s="1585"/>
      <c r="H2" s="2052"/>
      <c r="I2" s="2052"/>
      <c r="J2" s="2052"/>
      <c r="K2" s="2053"/>
      <c r="L2" s="2052"/>
      <c r="M2" s="2052"/>
    </row>
    <row r="3" spans="1:33" ht="18" customHeight="1" thickBot="1">
      <c r="A3" s="829" t="s">
        <v>1721</v>
      </c>
      <c r="B3" s="830">
        <f ca="1">IF(ISERROR(B2*10000/F43),0,ROUND(B2*10000/F43,0))</f>
        <v>5514</v>
      </c>
      <c r="C3" s="2052"/>
      <c r="D3" s="2050"/>
      <c r="E3" s="2051"/>
      <c r="F3" s="2051"/>
      <c r="G3" s="1585"/>
      <c r="H3" s="772" t="s">
        <v>689</v>
      </c>
      <c r="I3" s="1358"/>
      <c r="J3" s="1358"/>
      <c r="K3" s="1586"/>
      <c r="L3" s="1358"/>
      <c r="M3" s="1358"/>
    </row>
    <row r="4" spans="1:33" ht="18" customHeight="1">
      <c r="A4" s="773" t="s">
        <v>624</v>
      </c>
      <c r="B4" s="774" t="s">
        <v>625</v>
      </c>
      <c r="C4" s="774" t="s">
        <v>1724</v>
      </c>
      <c r="D4" s="774" t="s">
        <v>627</v>
      </c>
      <c r="E4" s="775" t="s">
        <v>1725</v>
      </c>
      <c r="F4" s="776"/>
      <c r="G4" s="1587"/>
      <c r="H4" s="773" t="s">
        <v>624</v>
      </c>
      <c r="I4" s="774" t="s">
        <v>1727</v>
      </c>
      <c r="J4" s="774" t="s">
        <v>626</v>
      </c>
      <c r="K4" s="774" t="s">
        <v>627</v>
      </c>
      <c r="L4" s="775" t="s">
        <v>628</v>
      </c>
      <c r="M4" s="776"/>
    </row>
    <row r="5" spans="1:33" ht="18" customHeight="1">
      <c r="A5" s="777">
        <v>1</v>
      </c>
      <c r="B5" s="778" t="s">
        <v>2454</v>
      </c>
      <c r="C5" s="55">
        <f ca="1">C6+C10+C12</f>
        <v>2998</v>
      </c>
      <c r="D5" s="2515" t="s">
        <v>2457</v>
      </c>
      <c r="E5" s="2509"/>
      <c r="F5" s="2510"/>
      <c r="G5" s="1587"/>
      <c r="H5" s="777">
        <v>1</v>
      </c>
      <c r="I5" s="778" t="s">
        <v>2454</v>
      </c>
      <c r="J5" s="55">
        <f ca="1">J6+J10+J12</f>
        <v>0</v>
      </c>
      <c r="K5" s="2515" t="s">
        <v>2457</v>
      </c>
      <c r="L5" s="2509"/>
      <c r="M5" s="2510"/>
    </row>
    <row r="6" spans="1:33" ht="18" customHeight="1">
      <c r="A6" s="1825" t="s">
        <v>1818</v>
      </c>
      <c r="B6" s="3523" t="s">
        <v>2459</v>
      </c>
      <c r="C6" s="779">
        <f ca="1">ROUND(F6*F8*F7*(1-F9)/10000,0)</f>
        <v>2998</v>
      </c>
      <c r="D6" s="2516" t="s">
        <v>2458</v>
      </c>
      <c r="E6" s="780" t="s">
        <v>631</v>
      </c>
      <c r="F6" s="781">
        <f ca="1">INDIRECT("'数据-取费表'!u"&amp;$G$1)</f>
        <v>1200</v>
      </c>
      <c r="G6" s="1587"/>
      <c r="H6" s="2523" t="s">
        <v>2465</v>
      </c>
      <c r="I6" s="3523" t="s">
        <v>2459</v>
      </c>
      <c r="J6" s="779">
        <f ca="1">ROUND(M6*M8*M7*(1-M9)/10000,0)</f>
        <v>0</v>
      </c>
      <c r="K6" s="339" t="s">
        <v>1731</v>
      </c>
      <c r="L6" s="780" t="s">
        <v>631</v>
      </c>
      <c r="M6" s="781">
        <f ca="1">INDIRECT("'数据-取费表'!z"&amp;$G$1)</f>
        <v>0</v>
      </c>
    </row>
    <row r="7" spans="1:33" ht="18" customHeight="1">
      <c r="A7" s="2519"/>
      <c r="B7" s="3524"/>
      <c r="C7" s="784"/>
      <c r="D7" s="785"/>
      <c r="E7" s="780" t="s">
        <v>1733</v>
      </c>
      <c r="F7" s="781">
        <f ca="1">IF(INDIRECT("'数据-取费表'!ah"&amp;$G$1)="",INDIRECT("'数据-取费表'!k"&amp;$G$1),INDIRECT("'数据-取费表'!ah"&amp;$G$1))</f>
        <v>2449</v>
      </c>
      <c r="G7" s="1587"/>
      <c r="H7" s="2508"/>
      <c r="I7" s="3524"/>
      <c r="J7" s="784"/>
      <c r="K7" s="785"/>
      <c r="L7" s="780" t="s">
        <v>1733</v>
      </c>
      <c r="M7" s="781">
        <f ca="1">F7</f>
        <v>2449</v>
      </c>
    </row>
    <row r="8" spans="1:33" ht="18" customHeight="1">
      <c r="A8" s="2512"/>
      <c r="B8" s="3525"/>
      <c r="C8" s="784"/>
      <c r="D8" s="785"/>
      <c r="E8" s="780" t="s">
        <v>1734</v>
      </c>
      <c r="F8" s="781">
        <f ca="1">INDIRECT("'数据-取费表'!ai"&amp;$G$1)</f>
        <v>12</v>
      </c>
      <c r="G8" s="1587"/>
      <c r="H8" s="2508"/>
      <c r="I8" s="3525"/>
      <c r="J8" s="784"/>
      <c r="K8" s="785"/>
      <c r="L8" s="780" t="s">
        <v>1734</v>
      </c>
      <c r="M8" s="781">
        <f ca="1">INDIRECT("'数据-取费表'!ai"&amp;$G$1)</f>
        <v>12</v>
      </c>
    </row>
    <row r="9" spans="1:33" ht="18" customHeight="1">
      <c r="A9" s="782"/>
      <c r="B9" s="3526"/>
      <c r="C9" s="784"/>
      <c r="D9" s="785"/>
      <c r="E9" s="780" t="s">
        <v>1735</v>
      </c>
      <c r="F9" s="790">
        <f ca="1">INDIRECT("'数据-取费表'!w"&amp;$G$1)</f>
        <v>0.15</v>
      </c>
      <c r="G9" s="1587"/>
      <c r="H9" s="2524"/>
      <c r="I9" s="3525"/>
      <c r="J9" s="784"/>
      <c r="K9" s="785"/>
      <c r="L9" s="791" t="s">
        <v>1735</v>
      </c>
      <c r="M9" s="792">
        <f ca="1">INDIRECT("'数据-取费表'!ab"&amp;$G$1)</f>
        <v>0</v>
      </c>
    </row>
    <row r="10" spans="1:33" ht="18" customHeight="1">
      <c r="A10" s="1825" t="s">
        <v>2463</v>
      </c>
      <c r="B10" s="2513" t="s">
        <v>2455</v>
      </c>
      <c r="C10" s="795">
        <f ca="1">ROUND(IF(F10="押一",F6*F8*F7/12*F11,IF(F10="押二",F6*F8*F7/12*2*F11,IF(F10="押三",F6*F8*F7/12*3*F11,C11*F11)))/10000,0)</f>
        <v>0</v>
      </c>
      <c r="D10" s="2520" t="s">
        <v>2462</v>
      </c>
      <c r="E10" s="2517" t="s">
        <v>2460</v>
      </c>
      <c r="F10" s="2640" t="s">
        <v>3235</v>
      </c>
      <c r="G10" s="1587"/>
      <c r="H10" s="2580" t="s">
        <v>2466</v>
      </c>
      <c r="I10" s="2585" t="s">
        <v>2455</v>
      </c>
      <c r="J10" s="779">
        <f ca="1">ROUND(IF(M10="押一",M6*M8*M7/12*M11,IF(M10="押二",M6*M8*M7/12*2*M11,IF(M10="押三",M6*M8*M7/12*3*M11,J11*M11)))/10000,0)</f>
        <v>0</v>
      </c>
      <c r="K10" s="2520" t="s">
        <v>2462</v>
      </c>
      <c r="L10" s="2517" t="s">
        <v>2460</v>
      </c>
      <c r="M10" s="2640"/>
    </row>
    <row r="11" spans="1:33" ht="18" customHeight="1">
      <c r="A11" s="786"/>
      <c r="B11" s="2514" t="s">
        <v>2570</v>
      </c>
      <c r="C11" s="2518"/>
      <c r="D11" s="785"/>
      <c r="E11" s="2517" t="s">
        <v>2461</v>
      </c>
      <c r="F11" s="792">
        <f ca="1">'数据-取费表'!B39</f>
        <v>1.4999999999999999E-2</v>
      </c>
      <c r="G11" s="1587"/>
      <c r="H11" s="2581"/>
      <c r="I11" s="2514" t="s">
        <v>2570</v>
      </c>
      <c r="J11" s="2518"/>
      <c r="K11" s="2582"/>
      <c r="L11" s="2517" t="s">
        <v>2461</v>
      </c>
      <c r="M11" s="2511">
        <f ca="1">'数据-取费表'!B39</f>
        <v>1.4999999999999999E-2</v>
      </c>
    </row>
    <row r="12" spans="1:33" ht="18" customHeight="1" thickBot="1">
      <c r="A12" s="2556" t="s">
        <v>2464</v>
      </c>
      <c r="B12" s="2557" t="s">
        <v>2456</v>
      </c>
      <c r="C12" s="2558"/>
      <c r="D12" s="2559"/>
      <c r="E12" s="2560"/>
      <c r="F12" s="2561"/>
      <c r="G12" s="1587"/>
      <c r="H12" s="2570" t="s">
        <v>2467</v>
      </c>
      <c r="I12" s="2583" t="s">
        <v>2456</v>
      </c>
      <c r="J12" s="2584"/>
      <c r="K12" s="2559"/>
      <c r="L12" s="2560"/>
      <c r="M12" s="2573"/>
    </row>
    <row r="13" spans="1:33" ht="18" customHeight="1" thickTop="1">
      <c r="A13" s="1824">
        <v>2</v>
      </c>
      <c r="B13" s="1822" t="s">
        <v>1736</v>
      </c>
      <c r="C13" s="788">
        <f ca="1">ROUND(C29*F13,0)</f>
        <v>31468</v>
      </c>
      <c r="D13" s="1829" t="s">
        <v>2292</v>
      </c>
      <c r="E13" s="1829" t="s">
        <v>1738</v>
      </c>
      <c r="F13" s="2555">
        <f ca="1">INDIRECT("'数据-取费表'!y"&amp;$G$1)</f>
        <v>1</v>
      </c>
      <c r="G13" s="1587"/>
      <c r="H13" s="1824">
        <v>2</v>
      </c>
      <c r="I13" s="1822" t="s">
        <v>1736</v>
      </c>
      <c r="J13" s="1814">
        <f ca="1">ROUND(J14*J15,0)</f>
        <v>0</v>
      </c>
      <c r="K13" s="1816" t="s">
        <v>1737</v>
      </c>
      <c r="L13" s="2571"/>
      <c r="M13" s="2572"/>
    </row>
    <row r="14" spans="1:33" ht="18" customHeight="1">
      <c r="A14" s="1643" t="s">
        <v>1878</v>
      </c>
      <c r="B14" s="780" t="s">
        <v>639</v>
      </c>
      <c r="C14" s="800">
        <f ca="1">INDIRECT("'数据-取费表'!m"&amp;$G$1)+INDIRECT("'数据-取费表'!t"&amp;$G$1)</f>
        <v>21969</v>
      </c>
      <c r="D14" s="3179" t="s">
        <v>1739</v>
      </c>
      <c r="E14" s="3180"/>
      <c r="F14" s="801"/>
      <c r="G14" s="1587"/>
      <c r="H14" s="1644" t="s">
        <v>1818</v>
      </c>
      <c r="I14" s="2226" t="s">
        <v>2825</v>
      </c>
      <c r="J14" s="53">
        <f ca="1">C29</f>
        <v>31468</v>
      </c>
      <c r="K14" s="26"/>
      <c r="L14" s="797"/>
      <c r="M14" s="798"/>
    </row>
    <row r="15" spans="1:33" s="2059" customFormat="1" ht="18" customHeight="1" thickBot="1">
      <c r="A15" s="1643" t="s">
        <v>1879</v>
      </c>
      <c r="B15" s="780" t="s">
        <v>641</v>
      </c>
      <c r="C15" s="53">
        <f ca="1">ROUND(C14*F15,0)</f>
        <v>1098</v>
      </c>
      <c r="D15" s="802" t="s">
        <v>1740</v>
      </c>
      <c r="E15" s="802" t="s">
        <v>1741</v>
      </c>
      <c r="F15" s="803">
        <f>'数据-取费表'!B33</f>
        <v>0.05</v>
      </c>
      <c r="G15" s="1588"/>
      <c r="H15" s="2570" t="s">
        <v>1883</v>
      </c>
      <c r="I15" s="2565" t="s">
        <v>1738</v>
      </c>
      <c r="J15" s="2574">
        <f ca="1">INDIRECT("'数据-取费表'!ad"&amp;$G$1)</f>
        <v>0</v>
      </c>
      <c r="K15" s="2575"/>
      <c r="L15" s="2576"/>
      <c r="M15" s="2577"/>
      <c r="N15" s="2058"/>
      <c r="O15" s="2058"/>
      <c r="P15" s="2058"/>
      <c r="Q15" s="2412"/>
      <c r="R15" s="2058"/>
      <c r="S15" s="2058"/>
      <c r="T15" s="2058"/>
      <c r="U15" s="2058"/>
      <c r="V15" s="2058"/>
      <c r="W15" s="2058"/>
      <c r="X15" s="2058"/>
      <c r="Y15" s="2058"/>
      <c r="Z15" s="2058"/>
      <c r="AA15" s="2058"/>
      <c r="AB15" s="2058"/>
      <c r="AC15" s="2058"/>
      <c r="AD15" s="2058"/>
      <c r="AE15" s="2058"/>
      <c r="AF15" s="2058"/>
      <c r="AG15" s="2058"/>
    </row>
    <row r="16" spans="1:33" ht="18" customHeight="1" thickTop="1">
      <c r="A16" s="1643" t="s">
        <v>1880</v>
      </c>
      <c r="B16" s="780" t="s">
        <v>644</v>
      </c>
      <c r="C16" s="53">
        <f ca="1">ROUND(INDIRECT("'数据-取费表'!m"&amp;$G$1)*F16,0)</f>
        <v>0</v>
      </c>
      <c r="D16" s="780" t="s">
        <v>1740</v>
      </c>
      <c r="E16" s="780" t="s">
        <v>1741</v>
      </c>
      <c r="F16" s="805">
        <f ca="1">IF(INDIRECT("'数据-取费表'!c"&amp;$G$1)="住宅",'数据-取费表'!B34,0)</f>
        <v>0</v>
      </c>
      <c r="G16" s="1587"/>
      <c r="H16" s="1824" t="s">
        <v>1742</v>
      </c>
      <c r="I16" s="1822" t="s">
        <v>1743</v>
      </c>
      <c r="J16" s="788">
        <f ca="1">ROUND(J17+J22+J23+J24,0)</f>
        <v>795</v>
      </c>
      <c r="K16" s="1816" t="s">
        <v>1744</v>
      </c>
      <c r="L16" s="3181"/>
      <c r="M16" s="2510"/>
    </row>
    <row r="17" spans="1:33" s="2059" customFormat="1" ht="18" customHeight="1">
      <c r="A17" s="1643" t="s">
        <v>1881</v>
      </c>
      <c r="B17" s="780" t="s">
        <v>647</v>
      </c>
      <c r="C17" s="53">
        <f ca="1">ROUND(F17*(F43+INDIRECT("'数据-取费表'!S"&amp;$G$1))/10000,0)</f>
        <v>2016</v>
      </c>
      <c r="D17" s="780" t="s">
        <v>1745</v>
      </c>
      <c r="E17" s="780" t="s">
        <v>649</v>
      </c>
      <c r="F17" s="56">
        <f>'数据-取费表'!B35</f>
        <v>200</v>
      </c>
      <c r="G17" s="1588"/>
      <c r="H17" s="1644" t="s">
        <v>1818</v>
      </c>
      <c r="I17" s="780" t="s">
        <v>650</v>
      </c>
      <c r="J17" s="53">
        <f ca="1">ROUND(IF(项目基本情况!B11="自然人",J5*M17,J18+J19+J20),0)</f>
        <v>323</v>
      </c>
      <c r="K17" s="3179" t="s">
        <v>1747</v>
      </c>
      <c r="L17" s="3177" t="s">
        <v>1748</v>
      </c>
      <c r="M17" s="806" t="str">
        <f ca="1">IF(项目基本情况!B11="企业","",IF(INDIRECT("'数据-取费表'!c"&amp;$G$1)="住宅",5%,IF(M6*M7*M8/12/(1+'数据-取费表'!C42)&gt;20000,12%,7%)))</f>
        <v/>
      </c>
      <c r="N17" s="2058"/>
      <c r="O17" s="2058"/>
      <c r="P17" s="2058"/>
      <c r="Q17" s="2412"/>
      <c r="R17" s="2058"/>
      <c r="S17" s="2058"/>
      <c r="T17" s="2058"/>
      <c r="U17" s="2058"/>
      <c r="V17" s="2058"/>
      <c r="W17" s="2058"/>
      <c r="X17" s="2058"/>
      <c r="Y17" s="2058"/>
      <c r="Z17" s="2058"/>
      <c r="AA17" s="2058"/>
      <c r="AB17" s="2058"/>
      <c r="AC17" s="2058"/>
      <c r="AD17" s="2058"/>
      <c r="AE17" s="2058"/>
      <c r="AF17" s="2058"/>
      <c r="AG17" s="2058"/>
    </row>
    <row r="18" spans="1:33" s="2059" customFormat="1" ht="18" customHeight="1">
      <c r="A18" s="1643" t="s">
        <v>1882</v>
      </c>
      <c r="B18" s="780" t="s">
        <v>653</v>
      </c>
      <c r="C18" s="53">
        <f ca="1">ROUND(C14*F18,0)</f>
        <v>330</v>
      </c>
      <c r="D18" s="780" t="s">
        <v>1740</v>
      </c>
      <c r="E18" s="780" t="s">
        <v>1741</v>
      </c>
      <c r="F18" s="805">
        <f>'数据-取费表'!B36</f>
        <v>1.4999999999999999E-2</v>
      </c>
      <c r="G18" s="1588"/>
      <c r="H18" s="1643" t="s">
        <v>1878</v>
      </c>
      <c r="I18" s="780" t="s">
        <v>1749</v>
      </c>
      <c r="J18" s="53">
        <f ca="1">ROUND(J5*M18/1.05,1)</f>
        <v>0</v>
      </c>
      <c r="K18" s="3177" t="s">
        <v>1750</v>
      </c>
      <c r="L18" s="780" t="s">
        <v>1741</v>
      </c>
      <c r="M18" s="805">
        <f>'数据-取费表'!B41</f>
        <v>5.6000000000000001E-2</v>
      </c>
      <c r="N18" s="2058"/>
      <c r="O18" s="2058"/>
      <c r="P18" s="2058"/>
      <c r="Q18" s="2412"/>
      <c r="R18" s="2058"/>
      <c r="S18" s="2058"/>
      <c r="T18" s="2058"/>
      <c r="U18" s="2058"/>
      <c r="V18" s="2058"/>
      <c r="W18" s="2058"/>
      <c r="X18" s="2058"/>
      <c r="Y18" s="2058"/>
      <c r="Z18" s="2058"/>
      <c r="AA18" s="2058"/>
      <c r="AB18" s="2058"/>
      <c r="AC18" s="2058"/>
      <c r="AD18" s="2058"/>
      <c r="AE18" s="2058"/>
      <c r="AF18" s="2058"/>
      <c r="AG18" s="2058"/>
    </row>
    <row r="19" spans="1:33" ht="18" customHeight="1">
      <c r="A19" s="1644" t="s">
        <v>1818</v>
      </c>
      <c r="B19" s="780" t="s">
        <v>656</v>
      </c>
      <c r="C19" s="53">
        <f ca="1">SUM(C14:C18)</f>
        <v>25413</v>
      </c>
      <c r="D19" s="256" t="s">
        <v>1751</v>
      </c>
      <c r="E19" s="3187"/>
      <c r="F19" s="56"/>
      <c r="G19" s="1587"/>
      <c r="H19" s="1643" t="s">
        <v>1879</v>
      </c>
      <c r="I19" s="780" t="s">
        <v>1752</v>
      </c>
      <c r="J19" s="53">
        <f ca="1">IF(K19="按租金收入计税",ROUND(J5*M19,1),ROUND(C29*F33*0.7,1))</f>
        <v>264.3</v>
      </c>
      <c r="K19" s="807" t="s">
        <v>659</v>
      </c>
      <c r="L19" s="780" t="s">
        <v>1741</v>
      </c>
      <c r="M19" s="805">
        <f>IF(K19="按租金收入计税",'数据-取费表'!B51,'数据-取费表'!B50)</f>
        <v>1.2E-2</v>
      </c>
    </row>
    <row r="20" spans="1:33" s="2059" customFormat="1" ht="18" customHeight="1">
      <c r="A20" s="1644" t="s">
        <v>1883</v>
      </c>
      <c r="B20" s="780" t="s">
        <v>660</v>
      </c>
      <c r="C20" s="53">
        <f ca="1">ROUND(C19*F20,0)</f>
        <v>508</v>
      </c>
      <c r="D20" s="808" t="s">
        <v>1753</v>
      </c>
      <c r="E20" s="780" t="s">
        <v>1741</v>
      </c>
      <c r="F20" s="805">
        <f>'数据-取费表'!B37</f>
        <v>0.02</v>
      </c>
      <c r="G20" s="1588"/>
      <c r="H20" s="1646" t="s">
        <v>1874</v>
      </c>
      <c r="I20" s="339" t="s">
        <v>1754</v>
      </c>
      <c r="J20" s="54">
        <f ca="1">ROUND(M20*M21/10000,0)</f>
        <v>59</v>
      </c>
      <c r="K20" s="810" t="s">
        <v>1755</v>
      </c>
      <c r="L20" s="780" t="s">
        <v>1756</v>
      </c>
      <c r="M20" s="636">
        <f>'数据-取费表'!B52</f>
        <v>20</v>
      </c>
      <c r="N20" s="2058"/>
      <c r="O20" s="2058"/>
      <c r="P20" s="2058"/>
      <c r="Q20" s="2412"/>
      <c r="R20" s="2058"/>
      <c r="S20" s="2058"/>
      <c r="T20" s="2058"/>
      <c r="U20" s="2058"/>
      <c r="V20" s="2058"/>
      <c r="W20" s="2058"/>
      <c r="X20" s="2058"/>
      <c r="Y20" s="2058"/>
      <c r="Z20" s="2058"/>
      <c r="AA20" s="2058"/>
      <c r="AB20" s="2058"/>
      <c r="AC20" s="2058"/>
      <c r="AD20" s="2058"/>
      <c r="AE20" s="2058"/>
      <c r="AF20" s="2058"/>
      <c r="AG20" s="2058"/>
    </row>
    <row r="21" spans="1:33" s="2059" customFormat="1" ht="18" customHeight="1">
      <c r="A21" s="1644" t="s">
        <v>1884</v>
      </c>
      <c r="B21" s="780" t="s">
        <v>1757</v>
      </c>
      <c r="C21" s="53" t="s">
        <v>1758</v>
      </c>
      <c r="D21" s="808" t="s">
        <v>2293</v>
      </c>
      <c r="E21" s="780" t="s">
        <v>1759</v>
      </c>
      <c r="F21" s="805">
        <f>'数据-取费表'!B38</f>
        <v>0.02</v>
      </c>
      <c r="G21" s="1588"/>
      <c r="H21" s="2525"/>
      <c r="I21" s="789"/>
      <c r="J21" s="69"/>
      <c r="K21" s="812"/>
      <c r="L21" s="780" t="s">
        <v>1760</v>
      </c>
      <c r="M21" s="781">
        <f ca="1">INDIRECT("'数据-取费表'!r"&amp;$G$1)</f>
        <v>29625.759999999998</v>
      </c>
      <c r="N21" s="2058"/>
      <c r="O21" s="2058"/>
      <c r="P21" s="2058"/>
      <c r="Q21" s="2412"/>
      <c r="R21" s="2058"/>
      <c r="S21" s="2058"/>
      <c r="T21" s="2058"/>
      <c r="U21" s="2058"/>
      <c r="V21" s="2058"/>
      <c r="W21" s="2058"/>
      <c r="X21" s="2058"/>
      <c r="Y21" s="2058"/>
      <c r="Z21" s="2058"/>
      <c r="AA21" s="2058"/>
      <c r="AB21" s="2058"/>
      <c r="AC21" s="2058"/>
      <c r="AD21" s="2058"/>
      <c r="AE21" s="2058"/>
      <c r="AF21" s="2058"/>
      <c r="AG21" s="2058"/>
    </row>
    <row r="22" spans="1:33" ht="18" customHeight="1">
      <c r="A22" s="1644" t="s">
        <v>1885</v>
      </c>
      <c r="B22" s="780" t="s">
        <v>1761</v>
      </c>
      <c r="C22" s="53"/>
      <c r="D22" s="2591" t="str">
        <f>IF(F23&lt;=1,"单利计息。","复利计息。")&amp;"建造成本、管理费用、销售费用产生的利息。"</f>
        <v>复利计息。建造成本、管理费用、销售费用产生的利息。</v>
      </c>
      <c r="E22" s="3187"/>
      <c r="F22" s="56"/>
      <c r="G22" s="1587"/>
      <c r="H22" s="1644" t="s">
        <v>1883</v>
      </c>
      <c r="I22" s="780" t="s">
        <v>1762</v>
      </c>
      <c r="J22" s="53">
        <f ca="1">ROUND(J14*M22,0)</f>
        <v>472</v>
      </c>
      <c r="K22" s="3177" t="s">
        <v>1763</v>
      </c>
      <c r="L22" s="780" t="s">
        <v>1741</v>
      </c>
      <c r="M22" s="813">
        <f ca="1">INDIRECT("'数据-取费表'!Ak"&amp;$G$1)</f>
        <v>1.4999999999999999E-2</v>
      </c>
    </row>
    <row r="23" spans="1:33" s="2059" customFormat="1" ht="18" customHeight="1">
      <c r="A23" s="1643" t="s">
        <v>1825</v>
      </c>
      <c r="B23" s="780" t="s">
        <v>2532</v>
      </c>
      <c r="C23" s="53">
        <f ca="1">ROUND(IF('数据-取费表'!B22&lt;=1,(C19+C20)*F24*F23/2,(C19+C20)*(POWER((1+F24),F23/2)-1)),0)</f>
        <v>1869</v>
      </c>
      <c r="D23" s="2590" t="str">
        <f>IF(F23&lt;=1,"(建造成本+管理费用)×利率×(建设周期÷2)","(建造成本+管理费用)×((1+利率)^(建设周期÷2)-1)")</f>
        <v>(建造成本+管理费用)×((1+利率)^(建设周期÷2)-1)</v>
      </c>
      <c r="E23" s="780" t="s">
        <v>1764</v>
      </c>
      <c r="F23" s="636">
        <f>'数据-取费表'!B20</f>
        <v>3</v>
      </c>
      <c r="G23" s="1588"/>
      <c r="H23" s="1644" t="s">
        <v>1884</v>
      </c>
      <c r="I23" s="780" t="s">
        <v>673</v>
      </c>
      <c r="J23" s="53">
        <f ca="1">ROUND(J13*M23,0)</f>
        <v>0</v>
      </c>
      <c r="K23" s="3177" t="s">
        <v>1765</v>
      </c>
      <c r="L23" s="780" t="s">
        <v>1741</v>
      </c>
      <c r="M23" s="814">
        <f ca="1">INDIRECT("'数据-取费表'!Al"&amp;$G$1)</f>
        <v>1.5E-3</v>
      </c>
      <c r="N23" s="2058"/>
      <c r="O23" s="2058"/>
      <c r="P23" s="2058"/>
      <c r="Q23" s="2412"/>
      <c r="R23" s="2058"/>
      <c r="S23" s="2058"/>
      <c r="T23" s="2058"/>
      <c r="U23" s="2058"/>
      <c r="V23" s="2058"/>
      <c r="W23" s="2058"/>
      <c r="X23" s="2058"/>
      <c r="Y23" s="2058"/>
      <c r="Z23" s="2058"/>
      <c r="AA23" s="2058"/>
      <c r="AB23" s="2058"/>
      <c r="AC23" s="2058"/>
      <c r="AD23" s="2058"/>
      <c r="AE23" s="2058"/>
      <c r="AF23" s="2058"/>
      <c r="AG23" s="2058"/>
    </row>
    <row r="24" spans="1:33" s="2059" customFormat="1" ht="18" customHeight="1" thickBot="1">
      <c r="A24" s="1643" t="s">
        <v>1826</v>
      </c>
      <c r="B24" s="780" t="s">
        <v>1766</v>
      </c>
      <c r="C24" s="53">
        <f ca="1">ROUND(IF('数据-取费表'!B22&lt;=1,F21*F24*F23/2,F21*(POWER((1+F24),F23/2)-1)),4)</f>
        <v>1.4E-3</v>
      </c>
      <c r="D24" s="2590" t="str">
        <f>IF(F23&lt;=1,"销售费用×利率×(建设周期÷2)","销售费用×((1+利率)^(建设周期÷2)-1)")</f>
        <v>销售费用×((1+利率)^(建设周期÷2)-1)</v>
      </c>
      <c r="E24" s="780" t="s">
        <v>1767</v>
      </c>
      <c r="F24" s="815">
        <f ca="1">'数据-取费表'!B40</f>
        <v>4.7500000000000001E-2</v>
      </c>
      <c r="G24" s="1588"/>
      <c r="H24" s="2570" t="s">
        <v>1885</v>
      </c>
      <c r="I24" s="2565" t="s">
        <v>660</v>
      </c>
      <c r="J24" s="2563">
        <f ca="1">ROUND(J5*M24,0)</f>
        <v>0</v>
      </c>
      <c r="K24" s="2564" t="s">
        <v>1768</v>
      </c>
      <c r="L24" s="2565" t="s">
        <v>1741</v>
      </c>
      <c r="M24" s="2561">
        <f ca="1">INDIRECT("'数据-取费表'!Am"&amp;$G$1)</f>
        <v>0.01</v>
      </c>
      <c r="N24" s="2058"/>
      <c r="O24" s="2058"/>
      <c r="P24" s="2058"/>
      <c r="Q24" s="2412"/>
      <c r="R24" s="2058"/>
      <c r="S24" s="2058"/>
      <c r="T24" s="2058"/>
      <c r="U24" s="2058"/>
      <c r="V24" s="2058"/>
      <c r="W24" s="2058"/>
      <c r="X24" s="2058"/>
      <c r="Y24" s="2058"/>
      <c r="Z24" s="2058"/>
      <c r="AA24" s="2058"/>
      <c r="AB24" s="2058"/>
      <c r="AC24" s="2058"/>
      <c r="AD24" s="2058"/>
      <c r="AE24" s="2058"/>
      <c r="AF24" s="2058"/>
      <c r="AG24" s="2058"/>
    </row>
    <row r="25" spans="1:33" ht="18" customHeight="1" thickTop="1">
      <c r="A25" s="1645" t="s">
        <v>1834</v>
      </c>
      <c r="B25" s="780" t="s">
        <v>678</v>
      </c>
      <c r="C25" s="53"/>
      <c r="D25" s="256" t="s">
        <v>1769</v>
      </c>
      <c r="E25" s="3187"/>
      <c r="F25" s="56"/>
      <c r="G25" s="1587"/>
      <c r="H25" s="1824" t="s">
        <v>1770</v>
      </c>
      <c r="I25" s="3031" t="s">
        <v>2821</v>
      </c>
      <c r="J25" s="788">
        <f ca="1">J5-J16</f>
        <v>-795</v>
      </c>
      <c r="K25" s="2567" t="s">
        <v>1771</v>
      </c>
      <c r="L25" s="2568"/>
      <c r="M25" s="2569"/>
    </row>
    <row r="26" spans="1:33" ht="18" customHeight="1">
      <c r="A26" s="1643" t="s">
        <v>1825</v>
      </c>
      <c r="B26" s="780" t="s">
        <v>2433</v>
      </c>
      <c r="C26" s="53">
        <f ca="1">ROUND((C19+C20)*F26,0)</f>
        <v>1296</v>
      </c>
      <c r="D26" s="808" t="s">
        <v>1772</v>
      </c>
      <c r="E26" s="791" t="s">
        <v>1773</v>
      </c>
      <c r="F26" s="790">
        <f ca="1">INDIRECT("'数据-取费表'!q"&amp;$G$1)</f>
        <v>0.05</v>
      </c>
      <c r="G26" s="1587"/>
      <c r="H26" s="2521" t="s">
        <v>1774</v>
      </c>
      <c r="I26" s="2227" t="s">
        <v>2826</v>
      </c>
      <c r="J26" s="779">
        <f ca="1">IF(J5&lt;&gt;0,ROUND(J25*(1-((1+M28)/(1+M26))^M27)/(M26-M28),0),0)</f>
        <v>0</v>
      </c>
      <c r="K26" s="810" t="s">
        <v>1775</v>
      </c>
      <c r="L26" s="780" t="s">
        <v>2414</v>
      </c>
      <c r="M26" s="790">
        <f ca="1">INDIRECT("'数据-取费表'!I"&amp;$G$1)</f>
        <v>5.5E-2</v>
      </c>
    </row>
    <row r="27" spans="1:33" ht="18" customHeight="1">
      <c r="A27" s="1643" t="s">
        <v>1826</v>
      </c>
      <c r="B27" s="780" t="s">
        <v>680</v>
      </c>
      <c r="C27" s="53">
        <f ca="1">ROUND(F21*F26,4)</f>
        <v>1E-3</v>
      </c>
      <c r="D27" s="808" t="s">
        <v>1776</v>
      </c>
      <c r="E27" s="802"/>
      <c r="F27" s="803"/>
      <c r="G27" s="1587"/>
      <c r="H27" s="2522"/>
      <c r="I27" s="783"/>
      <c r="J27" s="784"/>
      <c r="K27" s="817" t="s">
        <v>1777</v>
      </c>
      <c r="L27" s="780" t="s">
        <v>1778</v>
      </c>
      <c r="M27" s="818">
        <f ca="1">INDIRECT("'数据-取费表'!ag"&amp;$G$1)</f>
        <v>0</v>
      </c>
    </row>
    <row r="28" spans="1:33" s="2059" customFormat="1" ht="18" customHeight="1">
      <c r="A28" s="1645" t="s">
        <v>1835</v>
      </c>
      <c r="B28" s="780" t="s">
        <v>681</v>
      </c>
      <c r="C28" s="53">
        <f>ROUND(F28/(1+'数据-取费表'!C42),4)</f>
        <v>5.33E-2</v>
      </c>
      <c r="D28" s="808" t="s">
        <v>2294</v>
      </c>
      <c r="E28" s="780" t="s">
        <v>1779</v>
      </c>
      <c r="F28" s="805">
        <f>'数据-取费表'!B41</f>
        <v>5.6000000000000001E-2</v>
      </c>
      <c r="G28" s="1588"/>
      <c r="H28" s="1824"/>
      <c r="I28" s="787"/>
      <c r="J28" s="788"/>
      <c r="K28" s="812"/>
      <c r="L28" s="780" t="s">
        <v>1780</v>
      </c>
      <c r="M28" s="790">
        <f ca="1">INDIRECT("'数据-取费表'!aa"&amp;$G$1)</f>
        <v>0</v>
      </c>
      <c r="N28" s="2058"/>
      <c r="O28" s="2058"/>
      <c r="P28" s="2058"/>
      <c r="Q28" s="2412"/>
      <c r="R28" s="2058"/>
      <c r="S28" s="2058"/>
      <c r="T28" s="2058"/>
      <c r="U28" s="2058"/>
      <c r="V28" s="2058"/>
      <c r="W28" s="2058"/>
      <c r="X28" s="2058"/>
      <c r="Y28" s="2058"/>
      <c r="Z28" s="2058"/>
      <c r="AA28" s="2058"/>
      <c r="AB28" s="2058"/>
      <c r="AC28" s="2058"/>
      <c r="AD28" s="2058"/>
      <c r="AE28" s="2058"/>
      <c r="AF28" s="2058"/>
      <c r="AG28" s="2058"/>
    </row>
    <row r="29" spans="1:33" s="2059" customFormat="1" ht="18" customHeight="1" thickBot="1">
      <c r="A29" s="2562" t="s">
        <v>1886</v>
      </c>
      <c r="B29" s="2560" t="s">
        <v>2295</v>
      </c>
      <c r="C29" s="2563">
        <f ca="1">ROUND((C19+C20+C23+C26)/(1-F21-C24-C27-C28),0)</f>
        <v>31468</v>
      </c>
      <c r="D29" s="2564"/>
      <c r="E29" s="2565"/>
      <c r="F29" s="2566"/>
      <c r="G29" s="1588"/>
      <c r="H29" s="819" t="s">
        <v>1781</v>
      </c>
      <c r="I29" s="820" t="s">
        <v>1782</v>
      </c>
      <c r="J29" s="821">
        <f ca="1">ROUND(J26/(1+F40)^F41,0)</f>
        <v>0</v>
      </c>
      <c r="K29" s="822" t="s">
        <v>1783</v>
      </c>
      <c r="L29" s="823"/>
      <c r="M29" s="824">
        <f ca="1">INDIRECT("'数据-取费表'!k"&amp;$G$1)</f>
        <v>90459.22</v>
      </c>
      <c r="N29" s="2058"/>
      <c r="O29" s="2058"/>
      <c r="P29" s="2058"/>
      <c r="Q29" s="2412"/>
      <c r="R29" s="2058"/>
      <c r="S29" s="2058"/>
      <c r="T29" s="2058"/>
      <c r="U29" s="2058"/>
      <c r="V29" s="2058"/>
      <c r="W29" s="2058"/>
      <c r="X29" s="2058"/>
      <c r="Y29" s="2058"/>
      <c r="Z29" s="2058"/>
      <c r="AA29" s="2058"/>
      <c r="AB29" s="2058"/>
      <c r="AC29" s="2058"/>
      <c r="AD29" s="2058"/>
      <c r="AE29" s="2058"/>
      <c r="AF29" s="2058"/>
      <c r="AG29" s="2058"/>
    </row>
    <row r="30" spans="1:33" ht="18" customHeight="1" thickTop="1">
      <c r="A30" s="1824" t="s">
        <v>1887</v>
      </c>
      <c r="B30" s="1822" t="s">
        <v>1784</v>
      </c>
      <c r="C30" s="788">
        <f ca="1">ROUND(C31+C36+C37+C38,0)</f>
        <v>1033</v>
      </c>
      <c r="D30" s="1816" t="s">
        <v>1785</v>
      </c>
      <c r="E30" s="3181"/>
      <c r="F30" s="2510"/>
      <c r="G30" s="2057"/>
      <c r="H30" s="2060"/>
      <c r="I30" s="2061"/>
      <c r="J30" s="2062"/>
      <c r="K30" s="2063"/>
      <c r="L30" s="2064"/>
      <c r="M30" s="2065"/>
    </row>
    <row r="31" spans="1:33" ht="18" customHeight="1">
      <c r="A31" s="1644" t="s">
        <v>1818</v>
      </c>
      <c r="B31" s="780" t="s">
        <v>650</v>
      </c>
      <c r="C31" s="53">
        <f ca="1">ROUND(IF(项目基本情况!B11="自然人",C5*F31,C32+C33+C34),1)</f>
        <v>483.5</v>
      </c>
      <c r="D31" s="3179" t="s">
        <v>1786</v>
      </c>
      <c r="E31" s="3177" t="s">
        <v>1787</v>
      </c>
      <c r="F31" s="806" t="str">
        <f ca="1">IF(项目基本情况!B11="企业","",IF(INDIRECT("'数据-取费表'!c"&amp;$G$1)="住宅",5%,IF(F6*F7*F8/12/(1+'数据-取费表'!C42)&gt;20000,12%,7%)))</f>
        <v/>
      </c>
      <c r="G31" s="2057"/>
      <c r="H31" s="2060"/>
      <c r="I31" s="2061"/>
      <c r="J31" s="2062"/>
      <c r="K31" s="2063"/>
      <c r="L31" s="2064"/>
      <c r="M31" s="2065"/>
    </row>
    <row r="32" spans="1:33" ht="18" customHeight="1">
      <c r="A32" s="1643" t="s">
        <v>1825</v>
      </c>
      <c r="B32" s="780" t="s">
        <v>1788</v>
      </c>
      <c r="C32" s="53">
        <f ca="1">ROUND(C5*F32/1.05,1)</f>
        <v>159.9</v>
      </c>
      <c r="D32" s="3177" t="s">
        <v>1789</v>
      </c>
      <c r="E32" s="780" t="s">
        <v>1790</v>
      </c>
      <c r="F32" s="805">
        <f>'数据-取费表'!B41</f>
        <v>5.6000000000000001E-2</v>
      </c>
      <c r="G32" s="2057"/>
      <c r="H32" s="2066"/>
      <c r="I32" s="2067"/>
      <c r="J32" s="2068"/>
      <c r="K32" s="2069"/>
      <c r="L32" s="2070"/>
      <c r="M32" s="2071"/>
    </row>
    <row r="33" spans="1:18" ht="18" customHeight="1">
      <c r="A33" s="1643" t="s">
        <v>1826</v>
      </c>
      <c r="B33" s="780" t="s">
        <v>1791</v>
      </c>
      <c r="C33" s="53">
        <f ca="1">IF(D33="按租金收入计税",ROUND(C5*F33,1),IF(D33="按房产原值计税",ROUND(C29*F33*0.7,1),INDIRECT("'数据-取费表'!Aj"&amp;$G$1)))</f>
        <v>264.3</v>
      </c>
      <c r="D33" s="807" t="s">
        <v>1674</v>
      </c>
      <c r="E33" s="780" t="s">
        <v>1790</v>
      </c>
      <c r="F33" s="805">
        <f>IF(D33="按租金收入计税",'数据-取费表'!B51,'数据-取费表'!B50)</f>
        <v>1.2E-2</v>
      </c>
      <c r="G33" s="2057"/>
      <c r="H33" s="2072"/>
      <c r="I33" s="2072"/>
      <c r="J33" s="2072"/>
      <c r="K33" s="2073"/>
      <c r="L33" s="2072"/>
      <c r="M33" s="2072"/>
    </row>
    <row r="34" spans="1:18" ht="18" customHeight="1">
      <c r="A34" s="1646" t="s">
        <v>1827</v>
      </c>
      <c r="B34" s="339" t="s">
        <v>1792</v>
      </c>
      <c r="C34" s="54">
        <f ca="1">ROUND(F34*F35/10000,1)</f>
        <v>59.3</v>
      </c>
      <c r="D34" s="810" t="s">
        <v>1793</v>
      </c>
      <c r="E34" s="780" t="s">
        <v>1794</v>
      </c>
      <c r="F34" s="636">
        <f>'数据-取费表'!B52</f>
        <v>20</v>
      </c>
      <c r="G34" s="2057"/>
      <c r="H34" s="2060"/>
      <c r="I34" s="831" t="s">
        <v>1807</v>
      </c>
      <c r="J34" s="832"/>
      <c r="K34" s="2075"/>
      <c r="L34" s="2074"/>
      <c r="M34" s="2074"/>
    </row>
    <row r="35" spans="1:18" ht="18" customHeight="1">
      <c r="A35" s="811"/>
      <c r="B35" s="789"/>
      <c r="C35" s="69"/>
      <c r="D35" s="812"/>
      <c r="E35" s="780" t="s">
        <v>1795</v>
      </c>
      <c r="F35" s="781">
        <f ca="1">INDIRECT("'数据-取费表'!r"&amp;$G$1)</f>
        <v>29625.759999999998</v>
      </c>
      <c r="G35" s="2057"/>
      <c r="H35" s="2060"/>
      <c r="I35" s="833" t="s">
        <v>1808</v>
      </c>
      <c r="J35" s="834">
        <f ca="1">ROUND(C13*J36,0)</f>
        <v>2517</v>
      </c>
      <c r="K35" s="2073"/>
      <c r="L35" s="2072"/>
      <c r="M35" s="2072"/>
    </row>
    <row r="36" spans="1:18" ht="18" customHeight="1">
      <c r="A36" s="1644" t="s">
        <v>1883</v>
      </c>
      <c r="B36" s="780" t="s">
        <v>1796</v>
      </c>
      <c r="C36" s="53">
        <f ca="1">ROUND(C29*F36,1)</f>
        <v>472</v>
      </c>
      <c r="D36" s="3177" t="s">
        <v>1797</v>
      </c>
      <c r="E36" s="780" t="s">
        <v>1790</v>
      </c>
      <c r="F36" s="813">
        <f ca="1">INDIRECT("'数据-取费表'!Ak"&amp;$G$1)</f>
        <v>1.4999999999999999E-2</v>
      </c>
      <c r="G36" s="2057"/>
      <c r="H36" s="2072"/>
      <c r="I36" s="835" t="s">
        <v>1809</v>
      </c>
      <c r="J36" s="836">
        <f ca="1">INDIRECT("'数据-取费表'!j"&amp;$G$1)</f>
        <v>0.08</v>
      </c>
      <c r="K36" s="2077"/>
      <c r="L36" s="2072"/>
      <c r="M36" s="2072"/>
    </row>
    <row r="37" spans="1:18" ht="18" customHeight="1">
      <c r="A37" s="1644" t="s">
        <v>1884</v>
      </c>
      <c r="B37" s="780" t="s">
        <v>673</v>
      </c>
      <c r="C37" s="53">
        <f ca="1">ROUND(C13*F37,1)</f>
        <v>47.2</v>
      </c>
      <c r="D37" s="3177" t="s">
        <v>1798</v>
      </c>
      <c r="E37" s="780" t="s">
        <v>1790</v>
      </c>
      <c r="F37" s="814">
        <f ca="1">INDIRECT("'数据-取费表'!Al"&amp;$G$1)</f>
        <v>1.5E-3</v>
      </c>
      <c r="G37" s="2057"/>
      <c r="H37" s="2072"/>
      <c r="I37" s="837" t="s">
        <v>1810</v>
      </c>
      <c r="J37" s="838"/>
      <c r="K37" s="2077"/>
      <c r="L37" s="2072"/>
      <c r="M37" s="2072"/>
    </row>
    <row r="38" spans="1:18" ht="18" customHeight="1" thickBot="1">
      <c r="A38" s="2570" t="s">
        <v>1885</v>
      </c>
      <c r="B38" s="2565" t="s">
        <v>660</v>
      </c>
      <c r="C38" s="2563">
        <f ca="1">ROUND(C5*F38,1)</f>
        <v>30</v>
      </c>
      <c r="D38" s="2564" t="s">
        <v>1799</v>
      </c>
      <c r="E38" s="2565" t="s">
        <v>1790</v>
      </c>
      <c r="F38" s="2561">
        <f ca="1">INDIRECT("'数据-取费表'!Am"&amp;$G$1)</f>
        <v>0.01</v>
      </c>
      <c r="G38" s="2057"/>
      <c r="H38" s="2072"/>
      <c r="I38" s="839" t="s">
        <v>1811</v>
      </c>
      <c r="J38" s="840"/>
      <c r="K38" s="2078"/>
      <c r="L38" s="2072"/>
      <c r="M38" s="2072"/>
    </row>
    <row r="39" spans="1:18" ht="24.6" customHeight="1" thickTop="1">
      <c r="A39" s="1824" t="s">
        <v>1888</v>
      </c>
      <c r="B39" s="3031" t="s">
        <v>2821</v>
      </c>
      <c r="C39" s="788">
        <f ca="1">C5-C30</f>
        <v>1965</v>
      </c>
      <c r="D39" s="2567" t="s">
        <v>1800</v>
      </c>
      <c r="E39" s="2568"/>
      <c r="F39" s="2569"/>
      <c r="G39" s="2057"/>
      <c r="H39" s="2072"/>
      <c r="I39" s="833" t="s">
        <v>1812</v>
      </c>
      <c r="J39" s="841">
        <f ca="1">ROUND(J35/C39,3)</f>
        <v>1.2809999999999999</v>
      </c>
      <c r="K39" s="2078"/>
      <c r="L39" s="2072"/>
      <c r="M39" s="2072"/>
    </row>
    <row r="40" spans="1:18" ht="18" customHeight="1">
      <c r="A40" s="777" t="s">
        <v>1889</v>
      </c>
      <c r="B40" s="2227" t="s">
        <v>2296</v>
      </c>
      <c r="C40" s="779">
        <f ca="1">ROUND(C39*(1-((1+F42)/(1+F40))^F41)/(F40-F42),0)</f>
        <v>49879</v>
      </c>
      <c r="D40" s="810" t="s">
        <v>1801</v>
      </c>
      <c r="E40" s="780" t="s">
        <v>2414</v>
      </c>
      <c r="F40" s="790">
        <f ca="1">INDIRECT("'数据-取费表'!I"&amp;$G$1)</f>
        <v>5.5E-2</v>
      </c>
      <c r="G40" s="2057"/>
      <c r="H40" s="2057"/>
      <c r="I40" s="833" t="s">
        <v>1813</v>
      </c>
      <c r="J40" s="841">
        <f ca="1">1-J39</f>
        <v>-0.28099999999999992</v>
      </c>
      <c r="K40" s="2078"/>
      <c r="L40" s="2057"/>
      <c r="M40" s="2057"/>
    </row>
    <row r="41" spans="1:18" ht="18" customHeight="1">
      <c r="A41" s="782"/>
      <c r="B41" s="783"/>
      <c r="C41" s="784"/>
      <c r="D41" s="817" t="s">
        <v>1802</v>
      </c>
      <c r="E41" s="780" t="s">
        <v>2961</v>
      </c>
      <c r="F41" s="818">
        <f ca="1">IF(INDIRECT("'数据-取费表'!af"&amp;$G$1)=0,INDIRECT("'数据-取费表'!ae"&amp;$G$1),INDIRECT("'数据-取费表'!af"&amp;$G$1))</f>
        <v>49.69</v>
      </c>
      <c r="G41" s="2057"/>
      <c r="H41" s="1983"/>
      <c r="I41" s="839" t="s">
        <v>1814</v>
      </c>
      <c r="J41" s="842"/>
      <c r="K41" s="2077"/>
      <c r="L41" s="1983"/>
      <c r="M41" s="1983"/>
    </row>
    <row r="42" spans="1:18" ht="18" customHeight="1">
      <c r="A42" s="786"/>
      <c r="B42" s="787"/>
      <c r="C42" s="788"/>
      <c r="D42" s="812"/>
      <c r="E42" s="780" t="s">
        <v>1803</v>
      </c>
      <c r="F42" s="790">
        <f ca="1">INDIRECT("'数据-取费表'!v"&amp;$G$1)</f>
        <v>2.5000000000000001E-2</v>
      </c>
      <c r="G42" s="2057"/>
      <c r="H42" s="1983"/>
      <c r="I42" s="843" t="s">
        <v>1815</v>
      </c>
      <c r="J42" s="841">
        <f ca="1">ROUND(C13/C40,3)</f>
        <v>0.63100000000000001</v>
      </c>
      <c r="K42" s="2077"/>
      <c r="L42" s="1983"/>
      <c r="M42" s="1983"/>
    </row>
    <row r="43" spans="1:18" ht="18" customHeight="1" thickBot="1">
      <c r="A43" s="819" t="s">
        <v>1781</v>
      </c>
      <c r="B43" s="820" t="s">
        <v>1804</v>
      </c>
      <c r="C43" s="821">
        <f ca="1">ROUND(C40*10000/F43,0)</f>
        <v>5514</v>
      </c>
      <c r="D43" s="822" t="s">
        <v>1805</v>
      </c>
      <c r="E43" s="823" t="s">
        <v>1806</v>
      </c>
      <c r="F43" s="824">
        <f ca="1">INDIRECT("'数据-取费表'!k"&amp;$G$1)</f>
        <v>90459.22</v>
      </c>
      <c r="G43" s="2057"/>
      <c r="H43" s="1983"/>
      <c r="I43" s="843" t="s">
        <v>1816</v>
      </c>
      <c r="J43" s="844">
        <f ca="1">1-J42</f>
        <v>0.36899999999999999</v>
      </c>
      <c r="K43" s="2077"/>
      <c r="L43" s="1983"/>
      <c r="M43" s="1983"/>
    </row>
    <row r="44" spans="1:18" s="2054" customFormat="1" ht="18" customHeight="1">
      <c r="A44" s="2080"/>
      <c r="B44" s="2080"/>
      <c r="C44" s="2097"/>
      <c r="D44" s="2080">
        <f ca="1">C40/F7</f>
        <v>20.367088607594937</v>
      </c>
      <c r="E44" s="2080"/>
      <c r="F44" s="2080"/>
      <c r="K44" s="2081"/>
      <c r="Q44" s="2092"/>
    </row>
    <row r="45" spans="1:18" s="2054" customFormat="1" ht="18" customHeight="1" thickBot="1">
      <c r="A45" s="2080"/>
      <c r="B45" s="2080"/>
      <c r="C45" s="2097"/>
      <c r="D45" s="2080"/>
      <c r="E45" s="2080"/>
      <c r="F45" s="2080"/>
      <c r="K45" s="2081"/>
      <c r="Q45" s="2092"/>
    </row>
    <row r="46" spans="1:18" s="2054" customFormat="1" ht="18" customHeight="1" thickBot="1">
      <c r="A46" s="2225" t="s">
        <v>2290</v>
      </c>
      <c r="B46" s="2080"/>
      <c r="C46" s="2593">
        <f ca="1">C67-C40</f>
        <v>-64135</v>
      </c>
      <c r="D46" s="2080"/>
      <c r="E46" s="2080"/>
      <c r="F46" s="2080"/>
      <c r="I46" s="2373" t="s">
        <v>2337</v>
      </c>
      <c r="J46" s="2374"/>
      <c r="K46" s="2375"/>
      <c r="L46" s="2376" t="str">
        <f ca="1">IF(M47="住宅",0,IF(L48&gt;J51,L60,J60))</f>
        <v>0</v>
      </c>
      <c r="O46" s="2413" t="s">
        <v>2405</v>
      </c>
      <c r="P46" s="1587"/>
      <c r="Q46" s="1599"/>
      <c r="R46" s="1587"/>
    </row>
    <row r="47" spans="1:18" s="2054" customFormat="1" ht="18" customHeight="1" thickBot="1">
      <c r="A47" s="2367">
        <v>1</v>
      </c>
      <c r="B47" s="2368" t="s">
        <v>629</v>
      </c>
      <c r="C47" s="2593">
        <f ca="1">C48+C52+C54</f>
        <v>0</v>
      </c>
      <c r="D47" s="2080"/>
      <c r="E47" s="2080"/>
      <c r="F47" s="2080"/>
      <c r="I47" s="2377" t="s">
        <v>2338</v>
      </c>
      <c r="J47" s="2382" t="s">
        <v>3005</v>
      </c>
      <c r="K47" s="2383" t="s">
        <v>2344</v>
      </c>
      <c r="L47" s="2384">
        <f ca="1">INDIRECT("'数据-取费表'!d"&amp;$G$1)</f>
        <v>50</v>
      </c>
      <c r="M47" s="1599" t="str">
        <f>IF(ISNUMBER(FIND("住宅",C1)),"住宅","非住宅")</f>
        <v>非住宅</v>
      </c>
      <c r="O47" s="2414" t="s">
        <v>2370</v>
      </c>
      <c r="P47" s="2415" t="s">
        <v>2371</v>
      </c>
      <c r="Q47" s="2416" t="s">
        <v>2372</v>
      </c>
      <c r="R47" s="2415" t="s">
        <v>2373</v>
      </c>
    </row>
    <row r="48" spans="1:18" s="2054" customFormat="1" ht="18" customHeight="1" thickBot="1">
      <c r="A48" s="2662" t="s">
        <v>2534</v>
      </c>
      <c r="B48" s="2663" t="s">
        <v>2535</v>
      </c>
      <c r="C48" s="2369">
        <f ca="1">ROUND(F48*F50*F49*(1-F51)/10000,0)</f>
        <v>0</v>
      </c>
      <c r="D48" s="2370" t="s">
        <v>630</v>
      </c>
      <c r="E48" s="2371" t="s">
        <v>2291</v>
      </c>
      <c r="F48" s="2372"/>
      <c r="G48" s="2085"/>
      <c r="I48" s="2378" t="s">
        <v>2339</v>
      </c>
      <c r="J48" s="2385" t="s">
        <v>2345</v>
      </c>
      <c r="K48" s="2386" t="s">
        <v>2346</v>
      </c>
      <c r="L48" s="2387">
        <f ca="1">INDIRECT("'数据-取费表'!f"&amp;$G$1)</f>
        <v>49.69</v>
      </c>
      <c r="O48" s="2417" t="s">
        <v>2374</v>
      </c>
      <c r="P48" s="2418" t="s">
        <v>2400</v>
      </c>
      <c r="Q48" s="2419">
        <f ca="1">C40+J29</f>
        <v>49879</v>
      </c>
      <c r="R48" s="2418" t="s">
        <v>2375</v>
      </c>
    </row>
    <row r="49" spans="1:18" s="2054" customFormat="1" ht="18" customHeight="1" thickBot="1">
      <c r="A49" s="782"/>
      <c r="B49" s="783"/>
      <c r="C49" s="784"/>
      <c r="D49" s="785"/>
      <c r="E49" s="780" t="s">
        <v>1733</v>
      </c>
      <c r="F49" s="781">
        <f ca="1">F7</f>
        <v>2449</v>
      </c>
      <c r="G49" s="2085"/>
      <c r="H49" s="2088"/>
      <c r="I49" s="2378" t="s">
        <v>2340</v>
      </c>
      <c r="J49" s="2388">
        <v>2019</v>
      </c>
      <c r="K49" s="2389" t="s">
        <v>2347</v>
      </c>
      <c r="L49" s="2390"/>
      <c r="O49" s="2417" t="s">
        <v>2376</v>
      </c>
      <c r="P49" s="2418" t="s">
        <v>2401</v>
      </c>
      <c r="Q49" s="2419" t="str">
        <f ca="1">J60</f>
        <v>0</v>
      </c>
      <c r="R49" s="2418" t="s">
        <v>2377</v>
      </c>
    </row>
    <row r="50" spans="1:18" s="2054" customFormat="1" ht="18" customHeight="1" thickBot="1">
      <c r="A50" s="782"/>
      <c r="B50" s="783"/>
      <c r="C50" s="784"/>
      <c r="D50" s="785"/>
      <c r="E50" s="780" t="s">
        <v>1734</v>
      </c>
      <c r="F50" s="781">
        <f ca="1">F8</f>
        <v>12</v>
      </c>
      <c r="G50" s="2090"/>
      <c r="H50" s="2088"/>
      <c r="I50" s="2378" t="s">
        <v>2341</v>
      </c>
      <c r="J50" s="2391">
        <f>SUMPRODUCT((I63:I65=J47)*(J62:L62=J48)*(J63:L65))</f>
        <v>60</v>
      </c>
      <c r="K50" s="2389" t="s">
        <v>2348</v>
      </c>
      <c r="L50" s="2390"/>
      <c r="O50" s="2420" t="s">
        <v>2378</v>
      </c>
      <c r="P50" s="2418" t="s">
        <v>2402</v>
      </c>
      <c r="Q50" s="2419">
        <f ca="1">C29</f>
        <v>31468</v>
      </c>
      <c r="R50" s="2418" t="s">
        <v>2375</v>
      </c>
    </row>
    <row r="51" spans="1:18" s="2054" customFormat="1" ht="18" customHeight="1" thickBot="1">
      <c r="A51" s="782"/>
      <c r="B51" s="783"/>
      <c r="C51" s="784"/>
      <c r="D51" s="785"/>
      <c r="E51" s="780" t="s">
        <v>634</v>
      </c>
      <c r="F51" s="2366"/>
      <c r="H51" s="2088"/>
      <c r="I51" s="2379" t="s">
        <v>2342</v>
      </c>
      <c r="J51" s="2392">
        <f>IF(J49="",J50,J49+J50-YEAR('数据-取费表'!B2))</f>
        <v>62</v>
      </c>
      <c r="K51" s="2378" t="s">
        <v>2349</v>
      </c>
      <c r="L51" s="2393">
        <f ca="1">ROUND(-PV(INDIRECT("'数据-取费表'!h"&amp;$G$1),L48,(C39-C13*J36),0),0)</f>
        <v>-10071</v>
      </c>
      <c r="O51" s="2420" t="s">
        <v>2379</v>
      </c>
      <c r="P51" s="2418" t="s">
        <v>2380</v>
      </c>
      <c r="Q51" s="2421" t="e">
        <f ca="1">J58</f>
        <v>#VALUE!</v>
      </c>
      <c r="R51" s="2422"/>
    </row>
    <row r="52" spans="1:18" s="2054" customFormat="1" ht="18" customHeight="1" thickBot="1">
      <c r="A52" s="777" t="s">
        <v>2533</v>
      </c>
      <c r="B52" s="2513" t="s">
        <v>2455</v>
      </c>
      <c r="C52" s="795">
        <f ca="1">ROUND(IF(F52="押一",F48*F50*F49/12*F11,IF(F52="押二",F48*F50*F49/12*2*F11,IF(F52="押三",F48*F50*F49/12*3*F11,C53*F11)))/10000,0)</f>
        <v>0</v>
      </c>
      <c r="D52" s="2520" t="s">
        <v>2462</v>
      </c>
      <c r="E52" s="2517" t="s">
        <v>2460</v>
      </c>
      <c r="F52" s="2640"/>
      <c r="I52" s="2380" t="s">
        <v>2416</v>
      </c>
      <c r="J52" s="2394">
        <v>0.08</v>
      </c>
      <c r="K52" s="2380" t="s">
        <v>2415</v>
      </c>
      <c r="L52" s="2394"/>
      <c r="O52" s="2420" t="s">
        <v>2381</v>
      </c>
      <c r="P52" s="2418" t="s">
        <v>2382</v>
      </c>
      <c r="Q52" s="2421">
        <f>J52</f>
        <v>0.08</v>
      </c>
      <c r="R52" s="2422"/>
    </row>
    <row r="53" spans="1:18" s="2054" customFormat="1" ht="39.75" customHeight="1" thickBot="1">
      <c r="A53" s="782"/>
      <c r="B53" s="2514" t="s">
        <v>2570</v>
      </c>
      <c r="C53" s="2518"/>
      <c r="D53" s="2520"/>
      <c r="E53" s="2517"/>
      <c r="F53" s="796"/>
      <c r="I53" s="2381" t="s">
        <v>2343</v>
      </c>
      <c r="J53" s="2395">
        <f ca="1">IF(M47="住宅",J51,IF(D1="——",MIN(J51,L48),IF(D1="土地（套用方法）",MIN(J51,L48-'数据-取费表'!B20))))</f>
        <v>49.69</v>
      </c>
      <c r="K53" s="3544" t="s">
        <v>2963</v>
      </c>
      <c r="L53" s="3545"/>
      <c r="O53" s="2420" t="s">
        <v>2383</v>
      </c>
      <c r="P53" s="2418" t="s">
        <v>2384</v>
      </c>
      <c r="Q53" s="2419">
        <f ca="1">J53</f>
        <v>49.69</v>
      </c>
      <c r="R53" s="2418" t="s">
        <v>2385</v>
      </c>
    </row>
    <row r="54" spans="1:18" s="2054" customFormat="1" ht="18" customHeight="1" thickBot="1">
      <c r="A54" s="2556" t="s">
        <v>2464</v>
      </c>
      <c r="B54" s="2557" t="s">
        <v>2456</v>
      </c>
      <c r="C54" s="2558"/>
      <c r="D54" s="2520"/>
      <c r="E54" s="2517"/>
      <c r="F54" s="796"/>
      <c r="I54" s="20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1"/>
      <c r="O54" s="2417" t="s">
        <v>2386</v>
      </c>
      <c r="P54" s="2418" t="s">
        <v>2403</v>
      </c>
      <c r="Q54" s="2419">
        <f ca="1">Q48+Q49</f>
        <v>49879</v>
      </c>
      <c r="R54" s="2422" t="s">
        <v>2387</v>
      </c>
    </row>
    <row r="55" spans="1:18" s="2054" customFormat="1" ht="18" customHeight="1" thickTop="1" thickBot="1">
      <c r="A55" s="793">
        <v>2</v>
      </c>
      <c r="B55" s="794" t="s">
        <v>638</v>
      </c>
      <c r="C55" s="795">
        <f ca="1">C13</f>
        <v>31468</v>
      </c>
      <c r="D55" s="791"/>
      <c r="E55" s="791"/>
      <c r="F55" s="796"/>
      <c r="I55" s="3119" t="s">
        <v>2350</v>
      </c>
      <c r="J55" s="3118" t="e">
        <f ca="1">ROUND(IF(J47="钢混",J57/J50,1-(1-2%)*(J50-J57)/J50),3)</f>
        <v>#VALUE!</v>
      </c>
      <c r="K55" s="2396" t="s">
        <v>2351</v>
      </c>
      <c r="L55" s="2397"/>
      <c r="O55" s="2423" t="s">
        <v>2406</v>
      </c>
      <c r="P55" s="1587"/>
      <c r="Q55" s="1599"/>
      <c r="R55" s="1587"/>
    </row>
    <row r="56" spans="1:18" s="2054" customFormat="1" ht="42.75" customHeight="1" thickBot="1">
      <c r="A56" s="1645"/>
      <c r="B56" s="2226" t="s">
        <v>2297</v>
      </c>
      <c r="C56" s="53">
        <f ca="1">C29</f>
        <v>31468</v>
      </c>
      <c r="D56" s="3177"/>
      <c r="E56" s="780"/>
      <c r="F56" s="805"/>
      <c r="I56" s="2398" t="s">
        <v>2352</v>
      </c>
      <c r="J56" s="3142" t="s">
        <v>1672</v>
      </c>
      <c r="K56" s="2378" t="s">
        <v>2357</v>
      </c>
      <c r="L56" s="2387" t="str">
        <f ca="1">IF(L48&lt;J51,"——",L48-J51)</f>
        <v>——</v>
      </c>
      <c r="O56" s="2414" t="s">
        <v>2370</v>
      </c>
      <c r="P56" s="2415" t="s">
        <v>2371</v>
      </c>
      <c r="Q56" s="2416" t="s">
        <v>2372</v>
      </c>
      <c r="R56" s="2415" t="s">
        <v>2373</v>
      </c>
    </row>
    <row r="57" spans="1:18" s="2054" customFormat="1" ht="28.5" customHeight="1" thickBot="1">
      <c r="A57" s="793" t="s">
        <v>1742</v>
      </c>
      <c r="B57" s="794" t="s">
        <v>645</v>
      </c>
      <c r="C57" s="795">
        <f ca="1">ROUND(C58+C63+C64+C65,0)</f>
        <v>843</v>
      </c>
      <c r="D57" s="26" t="s">
        <v>1744</v>
      </c>
      <c r="E57" s="3187"/>
      <c r="F57" s="56"/>
      <c r="I57" s="2399" t="s">
        <v>2353</v>
      </c>
      <c r="J57" s="2401" t="str">
        <f ca="1">IF(OR(M47="住宅",J51&lt;L48,J56="是"),"——",J51-L48)</f>
        <v>——</v>
      </c>
      <c r="K57" s="2378" t="s">
        <v>2358</v>
      </c>
      <c r="L57" s="2387" t="str">
        <f ca="1">IF(L48&lt;J51,"——",IF(L55="比较法",L49,IF(L55="基准地价",L50,L51)))</f>
        <v>——</v>
      </c>
      <c r="O57" s="2417" t="s">
        <v>2374</v>
      </c>
      <c r="P57" s="2418" t="s">
        <v>2404</v>
      </c>
      <c r="Q57" s="2419">
        <f ca="1">C40+J29</f>
        <v>49879</v>
      </c>
      <c r="R57" s="2418" t="s">
        <v>2375</v>
      </c>
    </row>
    <row r="58" spans="1:18" s="2054" customFormat="1" ht="28.5" customHeight="1" thickBot="1">
      <c r="A58" s="1644" t="s">
        <v>1818</v>
      </c>
      <c r="B58" s="780" t="s">
        <v>650</v>
      </c>
      <c r="C58" s="53">
        <f ca="1">ROUND(IF(项目基本情况!B11="自然人",C47*F58,C59+C60+C61),1)</f>
        <v>323.60000000000002</v>
      </c>
      <c r="D58" s="3179" t="s">
        <v>651</v>
      </c>
      <c r="E58" s="3177" t="s">
        <v>684</v>
      </c>
      <c r="F58" s="806" t="str">
        <f ca="1">IF(项目基本情况!B11="企业","",IF(INDIRECT("'数据-取费表'!c"&amp;$G$1)="住宅",5%,IF(F48*F49*F50/12/(1+'数据-取费表'!C42)&gt;20000,12%,7%)))</f>
        <v/>
      </c>
      <c r="I58" s="2399" t="s">
        <v>2354</v>
      </c>
      <c r="J58" s="3120" t="e">
        <f ca="1">IF(J55&lt;0.4,0.4,J55)</f>
        <v>#VALUE!</v>
      </c>
      <c r="K58" s="2378" t="s">
        <v>2359</v>
      </c>
      <c r="L58" s="2387" t="e">
        <f ca="1">ROUND(POWER(1+L52,L47-L48)*(POWER(1+L52,L48)-1)/(POWER(1+L52,L47)-1),4)</f>
        <v>#DIV/0!</v>
      </c>
      <c r="O58" s="2417" t="s">
        <v>2376</v>
      </c>
      <c r="P58" s="2418" t="s">
        <v>2407</v>
      </c>
      <c r="Q58" s="2419">
        <f ca="1">L60</f>
        <v>0</v>
      </c>
      <c r="R58" s="2422" t="s">
        <v>2409</v>
      </c>
    </row>
    <row r="59" spans="1:18" s="2054" customFormat="1" ht="28.5" customHeight="1" thickBot="1">
      <c r="A59" s="1643" t="s">
        <v>1825</v>
      </c>
      <c r="B59" s="780" t="s">
        <v>654</v>
      </c>
      <c r="C59" s="53">
        <f ca="1">ROUND(C47*F59/1.05,1)</f>
        <v>0</v>
      </c>
      <c r="D59" s="3177" t="s">
        <v>1750</v>
      </c>
      <c r="E59" s="780" t="s">
        <v>1741</v>
      </c>
      <c r="F59" s="805">
        <f t="shared" ref="F59:F65" si="0">F32</f>
        <v>5.6000000000000001E-2</v>
      </c>
      <c r="I59" s="2399" t="s">
        <v>2355</v>
      </c>
      <c r="J59" s="2401" t="str">
        <f ca="1">IF(OR(M47="住宅",J51&lt;L48,J56="是"),"——",ROUND(C29*J58,0))</f>
        <v>——</v>
      </c>
      <c r="K59" s="3149" t="str">
        <f>IF(D1="——","建筑物剩余耐用年限下的土地年期修正系数Kn","建设期及建筑物耐用年限下的土地年期修正系数Kn")</f>
        <v>建筑物剩余耐用年限下的土地年期修正系数Kn</v>
      </c>
      <c r="L59" s="2387" t="e">
        <f ca="1">ROUND(IF(D1="土地（套用方法）",POWER(1+L52,L47-(J51+'数据-取费表'!B20))*(POWER(1+L52,(J51+'数据-取费表'!B20))-1)/(POWER(1+L52,L47)-1),POWER(1+L52,L47-J51)*(POWER(1+L52,J51)-1)/(POWER(1+L52,L47)-1)),4)</f>
        <v>#DIV/0!</v>
      </c>
      <c r="O59" s="2420" t="s">
        <v>2378</v>
      </c>
      <c r="P59" s="2418" t="s">
        <v>2408</v>
      </c>
      <c r="Q59" s="2419">
        <f>IF(L55="比较法",L49,IF(L55="基准地价",L50,0))</f>
        <v>0</v>
      </c>
      <c r="R59" s="2418" t="s">
        <v>2375</v>
      </c>
    </row>
    <row r="60" spans="1:18" s="2054" customFormat="1" ht="18" customHeight="1" thickBot="1">
      <c r="A60" s="1643" t="s">
        <v>1826</v>
      </c>
      <c r="B60" s="780" t="s">
        <v>1752</v>
      </c>
      <c r="C60" s="53">
        <f ca="1">IF(D60="按租金收入计税",ROUND(C47*F60,1),IF(D60="按房产原值计税",ROUND(C56*F60*0.7,1),INDIRECT("'数据-取费表'!Aj"&amp;$G$1)))</f>
        <v>264.3</v>
      </c>
      <c r="D60" s="3177" t="str">
        <f>D33</f>
        <v>按房产原值计税</v>
      </c>
      <c r="E60" s="780" t="s">
        <v>1741</v>
      </c>
      <c r="F60" s="805">
        <f t="shared" si="0"/>
        <v>1.2E-2</v>
      </c>
      <c r="I60" s="2400" t="s">
        <v>2356</v>
      </c>
      <c r="J60" s="2402" t="str">
        <f ca="1">IF(OR(M47="住宅",J51&lt;L48,J56="是"),"0",ROUND(J59/(1+J52)^J53,0))</f>
        <v>0</v>
      </c>
      <c r="K60" s="2403" t="s">
        <v>2361</v>
      </c>
      <c r="L60" s="2402">
        <f ca="1">IF(OR(M47="住宅",L48&lt;J51),0,ROUND(L57*(L58/L59-1),0))</f>
        <v>0</v>
      </c>
      <c r="O60" s="2420" t="s">
        <v>2379</v>
      </c>
      <c r="P60" s="2418" t="s">
        <v>2388</v>
      </c>
      <c r="Q60" s="2421">
        <f>L52</f>
        <v>0</v>
      </c>
      <c r="R60" s="2422"/>
    </row>
    <row r="61" spans="1:18" s="2054" customFormat="1" ht="18" customHeight="1" thickBot="1">
      <c r="A61" s="1646" t="s">
        <v>1827</v>
      </c>
      <c r="B61" s="339" t="s">
        <v>662</v>
      </c>
      <c r="C61" s="54">
        <f ca="1">ROUND(F61*F62/10000,1)</f>
        <v>59.3</v>
      </c>
      <c r="D61" s="810" t="s">
        <v>663</v>
      </c>
      <c r="E61" s="780" t="s">
        <v>664</v>
      </c>
      <c r="F61" s="636">
        <f t="shared" si="0"/>
        <v>20</v>
      </c>
      <c r="K61" s="2081"/>
      <c r="O61" s="2420" t="s">
        <v>2381</v>
      </c>
      <c r="P61" s="2418" t="s">
        <v>2389</v>
      </c>
      <c r="Q61" s="2419" t="e">
        <f ca="1">L58</f>
        <v>#DIV/0!</v>
      </c>
      <c r="R61" s="2422" t="s">
        <v>2390</v>
      </c>
    </row>
    <row r="62" spans="1:18" s="2054" customFormat="1" ht="15.75" thickBot="1">
      <c r="A62" s="811"/>
      <c r="B62" s="789"/>
      <c r="C62" s="69"/>
      <c r="D62" s="812"/>
      <c r="E62" s="780" t="s">
        <v>668</v>
      </c>
      <c r="F62" s="781">
        <f t="shared" ca="1" si="0"/>
        <v>29625.759999999998</v>
      </c>
      <c r="I62" s="2404" t="s">
        <v>2362</v>
      </c>
      <c r="J62" s="2405" t="s">
        <v>2363</v>
      </c>
      <c r="K62" s="2405" t="s">
        <v>2364</v>
      </c>
      <c r="L62" s="2405" t="s">
        <v>2345</v>
      </c>
      <c r="M62" s="3121" t="s">
        <v>2938</v>
      </c>
      <c r="O62" s="2420" t="s">
        <v>2383</v>
      </c>
      <c r="P62" s="2418" t="str">
        <f>K59</f>
        <v>建筑物剩余耐用年限下的土地年期修正系数Kn</v>
      </c>
      <c r="Q62" s="2419" t="e">
        <f ca="1">L59</f>
        <v>#DIV/0!</v>
      </c>
      <c r="R62" s="2422" t="s">
        <v>2392</v>
      </c>
    </row>
    <row r="63" spans="1:18" s="2054" customFormat="1" ht="15.75" thickBot="1">
      <c r="A63" s="1644" t="s">
        <v>1883</v>
      </c>
      <c r="B63" s="780" t="s">
        <v>670</v>
      </c>
      <c r="C63" s="53">
        <f ca="1">ROUND(C56*F63,1)</f>
        <v>472</v>
      </c>
      <c r="D63" s="3177" t="s">
        <v>1797</v>
      </c>
      <c r="E63" s="780" t="s">
        <v>1741</v>
      </c>
      <c r="F63" s="813">
        <f t="shared" ca="1" si="0"/>
        <v>1.4999999999999999E-2</v>
      </c>
      <c r="I63" s="2404" t="s">
        <v>2365</v>
      </c>
      <c r="J63" s="2405">
        <v>70</v>
      </c>
      <c r="K63" s="2405">
        <v>50</v>
      </c>
      <c r="L63" s="2405">
        <v>80</v>
      </c>
      <c r="M63" s="3122">
        <v>0.02</v>
      </c>
      <c r="O63" s="2417" t="s">
        <v>2386</v>
      </c>
      <c r="P63" s="2418" t="s">
        <v>2403</v>
      </c>
      <c r="Q63" s="2419">
        <f ca="1">Q57+Q58</f>
        <v>49879</v>
      </c>
      <c r="R63" s="2422" t="s">
        <v>2387</v>
      </c>
    </row>
    <row r="64" spans="1:18" s="2054" customFormat="1" ht="16.5" thickBot="1">
      <c r="A64" s="1644" t="s">
        <v>1884</v>
      </c>
      <c r="B64" s="780" t="s">
        <v>673</v>
      </c>
      <c r="C64" s="53">
        <f ca="1">ROUND(C55*F64,1)</f>
        <v>47.2</v>
      </c>
      <c r="D64" s="3177" t="s">
        <v>674</v>
      </c>
      <c r="E64" s="780" t="s">
        <v>1741</v>
      </c>
      <c r="F64" s="814">
        <f t="shared" ca="1" si="0"/>
        <v>1.5E-3</v>
      </c>
      <c r="I64" s="2404" t="s">
        <v>2366</v>
      </c>
      <c r="J64" s="2405">
        <v>50</v>
      </c>
      <c r="K64" s="2405">
        <v>35</v>
      </c>
      <c r="L64" s="2405">
        <v>60</v>
      </c>
      <c r="M64" s="3123">
        <v>0</v>
      </c>
      <c r="O64" s="2423" t="s">
        <v>2410</v>
      </c>
      <c r="P64" s="1587"/>
      <c r="Q64" s="1599"/>
      <c r="R64" s="1587"/>
    </row>
    <row r="65" spans="1:18" s="2054" customFormat="1" ht="15.75" thickBot="1">
      <c r="A65" s="1644" t="s">
        <v>1885</v>
      </c>
      <c r="B65" s="780" t="s">
        <v>660</v>
      </c>
      <c r="C65" s="53">
        <f ca="1">ROUND(C47*F65,1)</f>
        <v>0</v>
      </c>
      <c r="D65" s="3177" t="s">
        <v>677</v>
      </c>
      <c r="E65" s="780" t="s">
        <v>1741</v>
      </c>
      <c r="F65" s="790">
        <f t="shared" ca="1" si="0"/>
        <v>0.01</v>
      </c>
      <c r="I65" s="2404" t="s">
        <v>2367</v>
      </c>
      <c r="J65" s="2405">
        <v>40</v>
      </c>
      <c r="K65" s="2405">
        <v>30</v>
      </c>
      <c r="L65" s="2405">
        <v>50</v>
      </c>
      <c r="M65" s="3122">
        <v>0.02</v>
      </c>
      <c r="O65" s="2414" t="s">
        <v>2370</v>
      </c>
      <c r="P65" s="2415" t="s">
        <v>2371</v>
      </c>
      <c r="Q65" s="2416" t="s">
        <v>2372</v>
      </c>
      <c r="R65" s="2415" t="s">
        <v>2373</v>
      </c>
    </row>
    <row r="66" spans="1:18" s="2054" customFormat="1" ht="24.75" thickBot="1">
      <c r="A66" s="793" t="s">
        <v>1770</v>
      </c>
      <c r="B66" s="3032" t="s">
        <v>2821</v>
      </c>
      <c r="C66" s="795">
        <f ca="1">C47-C57</f>
        <v>-843</v>
      </c>
      <c r="D66" s="3179" t="s">
        <v>694</v>
      </c>
      <c r="E66" s="3182"/>
      <c r="F66" s="816"/>
      <c r="K66" s="2081"/>
      <c r="O66" s="2417" t="s">
        <v>2374</v>
      </c>
      <c r="P66" s="2418" t="s">
        <v>2404</v>
      </c>
      <c r="Q66" s="2419">
        <f ca="1">C40+J29</f>
        <v>49879</v>
      </c>
      <c r="R66" s="2418" t="s">
        <v>2375</v>
      </c>
    </row>
    <row r="67" spans="1:18" s="2054" customFormat="1" ht="20.25" thickBot="1">
      <c r="A67" s="777" t="s">
        <v>1774</v>
      </c>
      <c r="B67" s="2227" t="s">
        <v>2296</v>
      </c>
      <c r="C67" s="779">
        <f ca="1">ROUND(C66*(1-((1+F69)/(1+F67))^F68)/(F67-F69),0)</f>
        <v>-14256</v>
      </c>
      <c r="D67" s="810" t="s">
        <v>698</v>
      </c>
      <c r="E67" s="780" t="s">
        <v>699</v>
      </c>
      <c r="F67" s="790">
        <f ca="1">F40</f>
        <v>5.5E-2</v>
      </c>
      <c r="K67" s="2081"/>
      <c r="O67" s="2417" t="s">
        <v>2376</v>
      </c>
      <c r="P67" s="2418" t="s">
        <v>2407</v>
      </c>
      <c r="Q67" s="2419">
        <f ca="1">L60</f>
        <v>0</v>
      </c>
      <c r="R67" s="2422" t="s">
        <v>2409</v>
      </c>
    </row>
    <row r="68" spans="1:18" ht="21.75" thickBot="1">
      <c r="A68" s="782"/>
      <c r="B68" s="783"/>
      <c r="C68" s="784"/>
      <c r="D68" s="817" t="s">
        <v>1802</v>
      </c>
      <c r="E68" s="780" t="s">
        <v>1778</v>
      </c>
      <c r="F68" s="818">
        <f ca="1">F41</f>
        <v>49.69</v>
      </c>
      <c r="O68" s="2420" t="s">
        <v>2378</v>
      </c>
      <c r="P68" s="2418" t="s">
        <v>2408</v>
      </c>
      <c r="Q68" s="2424">
        <f ca="1">L51</f>
        <v>-10071</v>
      </c>
      <c r="R68" s="2425" t="s">
        <v>2411</v>
      </c>
    </row>
    <row r="69" spans="1:18" ht="20.25" thickBot="1">
      <c r="A69" s="786"/>
      <c r="B69" s="787"/>
      <c r="C69" s="788"/>
      <c r="D69" s="812"/>
      <c r="E69" s="780" t="s">
        <v>704</v>
      </c>
      <c r="F69" s="2366"/>
      <c r="O69" s="2420" t="s">
        <v>2379</v>
      </c>
      <c r="P69" s="2426" t="s">
        <v>2393</v>
      </c>
      <c r="Q69" s="2419">
        <f ca="1">ROUND(Q70-Q71*Q72,0)</f>
        <v>-552</v>
      </c>
      <c r="R69" s="2422"/>
    </row>
    <row r="70" spans="1:18" ht="15.75" thickBot="1">
      <c r="A70" s="819" t="s">
        <v>1781</v>
      </c>
      <c r="B70" s="820" t="s">
        <v>1804</v>
      </c>
      <c r="C70" s="821">
        <f ca="1">ROUND(C67*10000/F70,0)</f>
        <v>-1576</v>
      </c>
      <c r="D70" s="822" t="s">
        <v>1805</v>
      </c>
      <c r="E70" s="823" t="s">
        <v>1806</v>
      </c>
      <c r="F70" s="824">
        <f ca="1">F43</f>
        <v>90459.22</v>
      </c>
      <c r="O70" s="2420" t="s">
        <v>2394</v>
      </c>
      <c r="P70" s="2426" t="s">
        <v>2395</v>
      </c>
      <c r="Q70" s="2419">
        <f ca="1">C39</f>
        <v>1965</v>
      </c>
      <c r="R70" s="2418" t="s">
        <v>2375</v>
      </c>
    </row>
    <row r="71" spans="1:18" ht="15.75" thickBot="1">
      <c r="O71" s="2420" t="s">
        <v>2396</v>
      </c>
      <c r="P71" s="2426" t="s">
        <v>2397</v>
      </c>
      <c r="Q71" s="2419">
        <f ca="1">C13</f>
        <v>31468</v>
      </c>
      <c r="R71" s="2418" t="s">
        <v>2375</v>
      </c>
    </row>
    <row r="72" spans="1:18" ht="15.75" thickBot="1">
      <c r="O72" s="2420" t="s">
        <v>2398</v>
      </c>
      <c r="P72" s="2426" t="s">
        <v>2399</v>
      </c>
      <c r="Q72" s="2421">
        <f ca="1">J36</f>
        <v>0.08</v>
      </c>
      <c r="R72" s="2422"/>
    </row>
    <row r="73" spans="1:18" ht="15.75" thickBot="1">
      <c r="O73" s="2420" t="s">
        <v>2381</v>
      </c>
      <c r="P73" s="2418" t="s">
        <v>2388</v>
      </c>
      <c r="Q73" s="2421">
        <f>L52</f>
        <v>0</v>
      </c>
      <c r="R73" s="2422"/>
    </row>
    <row r="74" spans="1:18" ht="20.25" thickBot="1">
      <c r="O74" s="2420" t="s">
        <v>2383</v>
      </c>
      <c r="P74" s="2418" t="s">
        <v>2389</v>
      </c>
      <c r="Q74" s="2419" t="e">
        <f ca="1">L58</f>
        <v>#DIV/0!</v>
      </c>
      <c r="R74" s="2422" t="s">
        <v>2390</v>
      </c>
    </row>
    <row r="75" spans="1:18" ht="15.75" thickBot="1">
      <c r="O75" s="2420" t="s">
        <v>2412</v>
      </c>
      <c r="P75" s="2418" t="str">
        <f>K59</f>
        <v>建筑物剩余耐用年限下的土地年期修正系数Kn</v>
      </c>
      <c r="Q75" s="2419" t="e">
        <f ca="1">L59</f>
        <v>#DIV/0!</v>
      </c>
      <c r="R75" s="2422" t="s">
        <v>2392</v>
      </c>
    </row>
    <row r="76" spans="1:18" ht="15.75" thickBot="1">
      <c r="O76" s="2417" t="s">
        <v>2386</v>
      </c>
      <c r="P76" s="2418" t="s">
        <v>2403</v>
      </c>
      <c r="Q76" s="2419">
        <f ca="1">Q66+Q67</f>
        <v>49879</v>
      </c>
      <c r="R76" s="2422" t="s">
        <v>2387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82"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1"/>
  <sheetViews>
    <sheetView workbookViewId="0">
      <selection activeCell="A4" sqref="A4"/>
    </sheetView>
  </sheetViews>
  <sheetFormatPr defaultRowHeight="13.5"/>
  <cols>
    <col min="5" max="8" width="0" hidden="1" customWidth="1"/>
    <col min="12" max="12" width="18" customWidth="1"/>
    <col min="13" max="23" width="0" hidden="1" customWidth="1"/>
    <col min="24" max="24" width="11.625" customWidth="1"/>
    <col min="25" max="26" width="0" hidden="1" customWidth="1"/>
    <col min="28" max="28" width="0" hidden="1" customWidth="1"/>
    <col min="30" max="30" width="0" hidden="1" customWidth="1"/>
    <col min="32" max="32" width="0" hidden="1" customWidth="1"/>
    <col min="34" max="35" width="0" hidden="1" customWidth="1"/>
    <col min="38" max="41" width="0" hidden="1" customWidth="1"/>
  </cols>
  <sheetData>
    <row r="1" spans="1:40" s="2960" customFormat="1">
      <c r="A1" s="2960" t="s">
        <v>2968</v>
      </c>
      <c r="B1" s="2960" t="s">
        <v>2969</v>
      </c>
      <c r="C1" s="2960" t="s">
        <v>2970</v>
      </c>
      <c r="D1" s="2960" t="s">
        <v>2971</v>
      </c>
      <c r="E1" s="2960" t="s">
        <v>3136</v>
      </c>
      <c r="F1" s="2960" t="s">
        <v>3137</v>
      </c>
      <c r="G1" s="2960" t="s">
        <v>2972</v>
      </c>
      <c r="H1" s="2960" t="s">
        <v>3138</v>
      </c>
      <c r="I1" s="2960" t="s">
        <v>3139</v>
      </c>
      <c r="J1" s="2960" t="s">
        <v>2973</v>
      </c>
      <c r="K1" s="2960" t="s">
        <v>2974</v>
      </c>
      <c r="L1" s="2960" t="s">
        <v>2027</v>
      </c>
      <c r="M1" s="2960" t="s">
        <v>3140</v>
      </c>
      <c r="N1" s="2960" t="s">
        <v>3141</v>
      </c>
      <c r="O1" s="2960" t="s">
        <v>3142</v>
      </c>
      <c r="P1" s="2960" t="s">
        <v>3143</v>
      </c>
      <c r="Q1" s="2960" t="s">
        <v>3144</v>
      </c>
      <c r="R1" s="2960" t="s">
        <v>3145</v>
      </c>
      <c r="S1" s="2960" t="s">
        <v>3146</v>
      </c>
      <c r="T1" s="2960" t="s">
        <v>3147</v>
      </c>
      <c r="U1" s="2960" t="s">
        <v>3148</v>
      </c>
      <c r="V1" s="2960" t="s">
        <v>3149</v>
      </c>
      <c r="W1" s="2960" t="s">
        <v>2975</v>
      </c>
      <c r="X1" s="2960" t="s">
        <v>2976</v>
      </c>
      <c r="Y1" s="2960" t="s">
        <v>3150</v>
      </c>
      <c r="Z1" s="2960" t="s">
        <v>3151</v>
      </c>
      <c r="AA1" s="2960" t="s">
        <v>2977</v>
      </c>
      <c r="AB1" s="2960" t="s">
        <v>3152</v>
      </c>
      <c r="AC1" s="2960" t="s">
        <v>2978</v>
      </c>
      <c r="AD1" s="2960" t="s">
        <v>3153</v>
      </c>
      <c r="AE1" s="2960" t="s">
        <v>2979</v>
      </c>
      <c r="AF1" s="2960" t="s">
        <v>3154</v>
      </c>
      <c r="AG1" s="2960" t="s">
        <v>2980</v>
      </c>
      <c r="AH1" s="2960" t="s">
        <v>3155</v>
      </c>
      <c r="AI1" s="2960" t="s">
        <v>3156</v>
      </c>
      <c r="AJ1" s="2960" t="s">
        <v>2981</v>
      </c>
      <c r="AK1" s="2960" t="s">
        <v>3157</v>
      </c>
      <c r="AL1" s="2960" t="s">
        <v>3158</v>
      </c>
      <c r="AM1" s="2960" t="s">
        <v>3159</v>
      </c>
      <c r="AN1" s="2960" t="s">
        <v>3160</v>
      </c>
    </row>
    <row r="2" spans="1:40" s="3203" customFormat="1">
      <c r="A2" s="3223" t="s">
        <v>3249</v>
      </c>
      <c r="B2" s="3203" t="s">
        <v>3082</v>
      </c>
      <c r="C2" s="3203" t="s">
        <v>2967</v>
      </c>
      <c r="D2" s="3203" t="s">
        <v>3162</v>
      </c>
      <c r="E2" s="3203" t="s">
        <v>2817</v>
      </c>
      <c r="F2" s="3203" t="s">
        <v>3161</v>
      </c>
      <c r="G2" s="3203" t="s">
        <v>2966</v>
      </c>
      <c r="H2" s="3203" t="s">
        <v>3163</v>
      </c>
      <c r="I2" s="3203" t="s">
        <v>3164</v>
      </c>
      <c r="J2" s="3203">
        <v>65169.8</v>
      </c>
      <c r="K2" s="3203">
        <v>161691.20000000001</v>
      </c>
      <c r="L2" s="3203" t="s">
        <v>3165</v>
      </c>
      <c r="M2" s="3203" t="s">
        <v>2817</v>
      </c>
      <c r="N2" s="3203" t="s">
        <v>2817</v>
      </c>
      <c r="O2" s="3203" t="s">
        <v>2817</v>
      </c>
      <c r="P2" s="3203" t="s">
        <v>2817</v>
      </c>
      <c r="Q2" s="3203" t="s">
        <v>2817</v>
      </c>
      <c r="R2" s="3203" t="s">
        <v>2817</v>
      </c>
      <c r="S2" s="3203" t="s">
        <v>2817</v>
      </c>
      <c r="T2" s="3203" t="s">
        <v>2817</v>
      </c>
      <c r="U2" s="3203" t="s">
        <v>3166</v>
      </c>
      <c r="V2" s="3203" t="s">
        <v>3167</v>
      </c>
      <c r="W2" s="3203" t="s">
        <v>3168</v>
      </c>
      <c r="X2" s="3203" t="s">
        <v>3168</v>
      </c>
      <c r="Y2" s="3203" t="s">
        <v>3163</v>
      </c>
      <c r="Z2" s="3203" t="s">
        <v>3169</v>
      </c>
      <c r="AA2" s="3203" t="s">
        <v>3170</v>
      </c>
      <c r="AB2" s="3203">
        <v>111000</v>
      </c>
      <c r="AC2" s="3203">
        <v>308000</v>
      </c>
      <c r="AD2" s="3203">
        <v>1135.5</v>
      </c>
      <c r="AE2" s="3203">
        <v>3150.74</v>
      </c>
      <c r="AF2" s="3203">
        <v>6864.93</v>
      </c>
      <c r="AG2" s="3203">
        <v>19048.650000000001</v>
      </c>
      <c r="AH2" s="3203" t="s">
        <v>2817</v>
      </c>
      <c r="AI2" s="3203" t="s">
        <v>2817</v>
      </c>
      <c r="AJ2" s="3203">
        <v>177.48</v>
      </c>
      <c r="AK2" s="3203" t="s">
        <v>3171</v>
      </c>
      <c r="AL2" s="3203" t="s">
        <v>2817</v>
      </c>
      <c r="AM2" s="3203" t="s">
        <v>2817</v>
      </c>
      <c r="AN2" s="3203" t="s">
        <v>2817</v>
      </c>
    </row>
    <row r="3" spans="1:40" s="3203" customFormat="1">
      <c r="A3" s="3223" t="s">
        <v>3253</v>
      </c>
      <c r="B3" s="3203" t="s">
        <v>3082</v>
      </c>
      <c r="C3" s="3203" t="s">
        <v>2967</v>
      </c>
      <c r="D3" s="3203" t="s">
        <v>3162</v>
      </c>
      <c r="E3" s="3203" t="s">
        <v>2817</v>
      </c>
      <c r="F3" s="3203" t="s">
        <v>3172</v>
      </c>
      <c r="G3" s="3203" t="s">
        <v>2966</v>
      </c>
      <c r="H3" s="3203" t="s">
        <v>3173</v>
      </c>
      <c r="I3" s="3203" t="s">
        <v>3174</v>
      </c>
      <c r="J3" s="3203">
        <v>91047.9</v>
      </c>
      <c r="K3" s="3203">
        <v>199634.5</v>
      </c>
      <c r="L3" s="3203" t="s">
        <v>3175</v>
      </c>
      <c r="M3" s="3203" t="s">
        <v>3176</v>
      </c>
      <c r="N3" s="3203" t="s">
        <v>2817</v>
      </c>
      <c r="O3" s="3203" t="s">
        <v>2817</v>
      </c>
      <c r="P3" s="3203" t="s">
        <v>2817</v>
      </c>
      <c r="Q3" s="3203" t="s">
        <v>2817</v>
      </c>
      <c r="R3" s="3203" t="s">
        <v>2817</v>
      </c>
      <c r="S3" s="3203" t="s">
        <v>2817</v>
      </c>
      <c r="T3" s="3203" t="s">
        <v>2817</v>
      </c>
      <c r="U3" s="3203" t="s">
        <v>3177</v>
      </c>
      <c r="V3" s="3203" t="s">
        <v>3178</v>
      </c>
      <c r="W3" s="3203" t="s">
        <v>3179</v>
      </c>
      <c r="X3" s="3203" t="s">
        <v>3179</v>
      </c>
      <c r="Y3" s="3203" t="s">
        <v>3173</v>
      </c>
      <c r="Z3" s="3203" t="s">
        <v>3169</v>
      </c>
      <c r="AA3" s="3203" t="s">
        <v>3180</v>
      </c>
      <c r="AB3" s="3203">
        <v>380000</v>
      </c>
      <c r="AC3" s="3203">
        <v>380000</v>
      </c>
      <c r="AD3" s="3203">
        <v>2782.42</v>
      </c>
      <c r="AE3" s="3203">
        <v>2782.42</v>
      </c>
      <c r="AF3" s="3203">
        <v>19034.78</v>
      </c>
      <c r="AG3" s="3203">
        <v>19034.79</v>
      </c>
      <c r="AH3" s="3203" t="s">
        <v>2817</v>
      </c>
      <c r="AI3" s="3203" t="s">
        <v>2817</v>
      </c>
      <c r="AJ3" s="3203">
        <v>0</v>
      </c>
      <c r="AK3" s="3203" t="s">
        <v>3171</v>
      </c>
      <c r="AL3" s="3203" t="s">
        <v>2817</v>
      </c>
      <c r="AM3" s="3203" t="s">
        <v>2817</v>
      </c>
      <c r="AN3" s="3203" t="s">
        <v>2817</v>
      </c>
    </row>
    <row r="4" spans="1:40" s="3203" customFormat="1">
      <c r="A4" s="3223" t="s">
        <v>3254</v>
      </c>
      <c r="B4" s="3203" t="s">
        <v>3082</v>
      </c>
      <c r="C4" s="3203" t="s">
        <v>2967</v>
      </c>
      <c r="D4" s="3203" t="s">
        <v>3162</v>
      </c>
      <c r="E4" s="3203" t="s">
        <v>2817</v>
      </c>
      <c r="F4" s="3203" t="s">
        <v>3181</v>
      </c>
      <c r="G4" s="3203" t="s">
        <v>2966</v>
      </c>
      <c r="H4" s="3203" t="s">
        <v>3182</v>
      </c>
      <c r="I4" s="3203" t="s">
        <v>3164</v>
      </c>
      <c r="J4" s="3203">
        <v>64606.3</v>
      </c>
      <c r="K4" s="3203">
        <v>167447.79999999999</v>
      </c>
      <c r="L4" s="3203" t="s">
        <v>3183</v>
      </c>
      <c r="M4" s="3203" t="s">
        <v>2817</v>
      </c>
      <c r="N4" s="3203" t="s">
        <v>2817</v>
      </c>
      <c r="O4" s="3203" t="s">
        <v>2817</v>
      </c>
      <c r="P4" s="3203" t="s">
        <v>2817</v>
      </c>
      <c r="Q4" s="3203" t="s">
        <v>2817</v>
      </c>
      <c r="R4" s="3203" t="s">
        <v>2817</v>
      </c>
      <c r="S4" s="3203" t="s">
        <v>2817</v>
      </c>
      <c r="T4" s="3203" t="s">
        <v>2817</v>
      </c>
      <c r="U4" s="3203" t="s">
        <v>3166</v>
      </c>
      <c r="V4" s="3203" t="s">
        <v>3167</v>
      </c>
      <c r="W4" s="3203" t="s">
        <v>3168</v>
      </c>
      <c r="X4" s="3203" t="s">
        <v>3168</v>
      </c>
      <c r="Y4" s="3203" t="s">
        <v>3182</v>
      </c>
      <c r="Z4" s="3203" t="s">
        <v>3169</v>
      </c>
      <c r="AA4" s="3203" t="s">
        <v>3170</v>
      </c>
      <c r="AB4" s="3203">
        <v>107000</v>
      </c>
      <c r="AC4" s="3203">
        <v>302000</v>
      </c>
      <c r="AD4" s="3203">
        <v>1104.1199999999999</v>
      </c>
      <c r="AE4" s="3203">
        <v>3116.31</v>
      </c>
      <c r="AF4" s="3203">
        <v>6390.05</v>
      </c>
      <c r="AG4" s="3203">
        <v>18035.47</v>
      </c>
      <c r="AH4" s="3203" t="s">
        <v>2817</v>
      </c>
      <c r="AI4" s="3203" t="s">
        <v>2817</v>
      </c>
      <c r="AJ4" s="3203">
        <v>182.24</v>
      </c>
      <c r="AK4" s="3203" t="s">
        <v>3171</v>
      </c>
      <c r="AL4" s="3203" t="s">
        <v>2817</v>
      </c>
      <c r="AM4" s="3203" t="s">
        <v>2817</v>
      </c>
      <c r="AN4" s="3203" t="s">
        <v>2817</v>
      </c>
    </row>
    <row r="11" spans="1:40" s="3204" customFormat="1"/>
  </sheetData>
  <phoneticPr fontId="23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R56"/>
  <sheetViews>
    <sheetView topLeftCell="A58" workbookViewId="0">
      <selection activeCell="A50" sqref="A50:R56"/>
    </sheetView>
  </sheetViews>
  <sheetFormatPr defaultRowHeight="13.5"/>
  <cols>
    <col min="1" max="1" width="12.5" customWidth="1"/>
  </cols>
  <sheetData>
    <row r="4" spans="6:15" ht="15" thickBot="1">
      <c r="G4" s="3224"/>
      <c r="H4" s="3225"/>
      <c r="I4" s="3225"/>
      <c r="J4" s="3225"/>
      <c r="L4" s="3228">
        <v>2015.1</v>
      </c>
      <c r="M4" s="3229">
        <v>5680</v>
      </c>
      <c r="N4" s="3229">
        <v>0.89</v>
      </c>
      <c r="O4" s="3229"/>
    </row>
    <row r="5" spans="6:15" ht="14.25">
      <c r="G5" s="3226"/>
      <c r="H5" s="3227"/>
      <c r="I5" s="3227"/>
      <c r="J5" s="3227"/>
      <c r="L5" s="3226">
        <v>2015.2</v>
      </c>
      <c r="M5" s="3227">
        <v>5740</v>
      </c>
      <c r="N5" s="3227">
        <v>1.06</v>
      </c>
      <c r="O5" s="3227"/>
    </row>
    <row r="6" spans="6:15" ht="14.25">
      <c r="G6" s="3228"/>
      <c r="H6" s="3229"/>
      <c r="I6" s="3229"/>
      <c r="J6" s="3229"/>
      <c r="L6" s="3228">
        <v>2015.3</v>
      </c>
      <c r="M6" s="3229">
        <v>5795</v>
      </c>
      <c r="N6" s="3229">
        <v>0.96</v>
      </c>
      <c r="O6" s="3229"/>
    </row>
    <row r="7" spans="6:15" ht="14.25">
      <c r="G7" s="3226"/>
      <c r="H7" s="3227"/>
      <c r="I7" s="3227"/>
      <c r="J7" s="3227"/>
      <c r="L7" s="3226">
        <v>2015.4</v>
      </c>
      <c r="M7" s="3227">
        <v>5843</v>
      </c>
      <c r="N7" s="3227">
        <v>0.83</v>
      </c>
    </row>
    <row r="8" spans="6:15" ht="14.25">
      <c r="G8" s="3228"/>
      <c r="H8" s="3229"/>
      <c r="I8" s="3229"/>
      <c r="J8" s="3229"/>
      <c r="L8" s="3226">
        <v>2016.1</v>
      </c>
      <c r="M8" s="3227">
        <v>5910</v>
      </c>
      <c r="N8" s="3227">
        <v>1.1499999999999999</v>
      </c>
      <c r="O8" s="3227"/>
    </row>
    <row r="9" spans="6:15" ht="14.25">
      <c r="G9" s="3226"/>
      <c r="H9" s="3227"/>
      <c r="I9" s="3227"/>
      <c r="L9" s="3228">
        <v>2016.2</v>
      </c>
      <c r="M9" s="3229">
        <v>6088</v>
      </c>
      <c r="N9" s="3229">
        <v>3.01</v>
      </c>
      <c r="O9" s="3229"/>
    </row>
    <row r="10" spans="6:15" ht="14.25">
      <c r="G10" s="3226"/>
      <c r="H10" s="3227"/>
      <c r="I10" s="3227"/>
      <c r="J10" s="3227"/>
      <c r="L10" s="3226">
        <v>2016.3</v>
      </c>
      <c r="M10" s="3227">
        <v>6254</v>
      </c>
      <c r="N10" s="3227">
        <v>2.73</v>
      </c>
      <c r="O10" s="3227"/>
    </row>
    <row r="11" spans="6:15" ht="14.25">
      <c r="G11" s="3228"/>
      <c r="H11" s="3229"/>
      <c r="I11" s="3229"/>
      <c r="J11" s="3229"/>
      <c r="L11" s="3228">
        <v>2016.4</v>
      </c>
      <c r="M11" s="3229">
        <v>6411</v>
      </c>
      <c r="N11" s="3229">
        <v>2.5099999999999998</v>
      </c>
      <c r="O11" s="3229"/>
    </row>
    <row r="12" spans="6:15" ht="14.25">
      <c r="G12" s="3226"/>
      <c r="H12" s="3227"/>
      <c r="I12" s="3227"/>
      <c r="J12" s="3227"/>
      <c r="L12" s="3226">
        <v>2017.1</v>
      </c>
      <c r="M12" s="3227">
        <v>6600</v>
      </c>
      <c r="N12" s="3227">
        <v>2.95</v>
      </c>
      <c r="O12" s="3227"/>
    </row>
    <row r="13" spans="6:15" ht="14.25">
      <c r="G13" s="3228"/>
      <c r="H13" s="3229"/>
      <c r="I13" s="3229"/>
      <c r="J13" s="3229"/>
      <c r="L13" s="3228">
        <v>2017.2</v>
      </c>
      <c r="M13" s="3229">
        <v>6799</v>
      </c>
      <c r="N13" s="3229">
        <v>3.02</v>
      </c>
      <c r="O13" s="3229"/>
    </row>
    <row r="14" spans="6:15" ht="14.25">
      <c r="G14" s="3226"/>
      <c r="H14" s="3227"/>
      <c r="I14" s="3227"/>
      <c r="L14" s="3226">
        <v>2017.3</v>
      </c>
      <c r="M14" s="3227">
        <v>6920</v>
      </c>
      <c r="N14" s="3227">
        <v>1.78</v>
      </c>
    </row>
    <row r="16" spans="6:15" ht="14.25" thickBot="1">
      <c r="F16" s="3230" t="s">
        <v>3258</v>
      </c>
    </row>
    <row r="17" spans="2:14" ht="14.25" thickBot="1">
      <c r="F17" s="3231" t="s">
        <v>3259</v>
      </c>
      <c r="G17" s="3232" t="s">
        <v>3260</v>
      </c>
      <c r="H17" s="3232" t="s">
        <v>3261</v>
      </c>
      <c r="I17" s="3232" t="s">
        <v>3262</v>
      </c>
      <c r="J17" s="3232" t="s">
        <v>3263</v>
      </c>
    </row>
    <row r="18" spans="2:14" ht="14.25" thickBot="1">
      <c r="F18" s="3233">
        <v>2015</v>
      </c>
      <c r="G18" s="3234">
        <v>8.8999999999999999E-3</v>
      </c>
      <c r="H18" s="3234">
        <v>1.06E-2</v>
      </c>
      <c r="I18" s="3234">
        <v>9.5999999999999992E-3</v>
      </c>
      <c r="J18" s="3234">
        <v>8.3000000000000001E-3</v>
      </c>
    </row>
    <row r="19" spans="2:14" ht="14.25" thickBot="1">
      <c r="F19" s="3233">
        <v>2016</v>
      </c>
      <c r="G19" s="3234">
        <v>1.15E-2</v>
      </c>
      <c r="H19" s="3234">
        <v>3.0099999999999998E-2</v>
      </c>
      <c r="I19" s="3234">
        <v>2.7300000000000001E-2</v>
      </c>
      <c r="J19" s="3234">
        <v>2.5100000000000001E-2</v>
      </c>
    </row>
    <row r="20" spans="2:14" ht="14.25" thickBot="1">
      <c r="F20" s="3233">
        <v>2017</v>
      </c>
      <c r="G20" s="3234">
        <v>2.9499999999999998E-2</v>
      </c>
      <c r="H20" s="3234">
        <v>3.0200000000000001E-2</v>
      </c>
      <c r="I20" s="3235">
        <v>1.78</v>
      </c>
      <c r="J20" s="3236" t="s">
        <v>945</v>
      </c>
    </row>
    <row r="23" spans="2:14">
      <c r="E23">
        <f ca="1">结果表!G19</f>
        <v>581748</v>
      </c>
      <c r="G23" s="3249" t="str">
        <f>'数据-基础表'!C13</f>
        <v>南地块</v>
      </c>
      <c r="H23" s="3249">
        <f>'数据-基础表'!A13</f>
        <v>34393.699999999997</v>
      </c>
      <c r="I23" s="3249">
        <f>H23/H26</f>
        <v>0.2835071644008042</v>
      </c>
      <c r="J23" s="3249">
        <f ca="1">ROUND(E23*I23,0)</f>
        <v>164930</v>
      </c>
      <c r="K23">
        <f ca="1">ROUND(J23/H23*10000,0)</f>
        <v>47954</v>
      </c>
      <c r="M23">
        <f ca="1">ROUND(结果表!G19/Sheet1!H26*10000,1)</f>
        <v>47953.5</v>
      </c>
      <c r="N23">
        <f ca="1">ROUND(M23*H23/10000,0)</f>
        <v>164930</v>
      </c>
    </row>
    <row r="24" spans="2:14">
      <c r="G24" s="3249" t="str">
        <f>'数据-基础表'!C14</f>
        <v>北地块</v>
      </c>
      <c r="H24" s="3249">
        <f>'数据-基础表'!A14</f>
        <v>40473.199999999997</v>
      </c>
      <c r="I24" s="3249">
        <f>H24/H26</f>
        <v>0.33362046439396248</v>
      </c>
      <c r="J24" s="3249">
        <f ca="1">ROUND(E23*I24,0)</f>
        <v>194083</v>
      </c>
      <c r="K24">
        <f t="shared" ref="K24:K25" ca="1" si="0">ROUND(J24/H24*10000,0)</f>
        <v>47953</v>
      </c>
      <c r="N24">
        <f ca="1">ROUND(M23*H24/10000,0)</f>
        <v>194083</v>
      </c>
    </row>
    <row r="25" spans="2:14">
      <c r="G25" s="3249" t="str">
        <f>'数据-基础表'!C15</f>
        <v>中地块</v>
      </c>
      <c r="H25" s="3249">
        <f>'数据-基础表'!A15</f>
        <v>46448.2</v>
      </c>
      <c r="I25" s="3249">
        <f>H25/H26</f>
        <v>0.38287237120523332</v>
      </c>
      <c r="J25" s="3249">
        <f ca="1">ROUND(E23*I25,0)</f>
        <v>222735</v>
      </c>
      <c r="K25">
        <f t="shared" ca="1" si="0"/>
        <v>47953</v>
      </c>
      <c r="N25">
        <f ca="1">ROUND(M23*H25/10000,0)</f>
        <v>222735</v>
      </c>
    </row>
    <row r="26" spans="2:14">
      <c r="G26" s="3249"/>
      <c r="H26" s="3249">
        <f>H23+H24+H25</f>
        <v>121315.09999999999</v>
      </c>
      <c r="I26" s="3249"/>
      <c r="J26" s="3249">
        <f ca="1">SUM(J23:J25)</f>
        <v>581748</v>
      </c>
      <c r="N26">
        <f ca="1">SUM(N23:N25)</f>
        <v>581748</v>
      </c>
    </row>
    <row r="30" spans="2:14">
      <c r="B30" s="3577" t="s">
        <v>3275</v>
      </c>
      <c r="C30" s="3577"/>
      <c r="D30" s="3578" t="s">
        <v>3284</v>
      </c>
      <c r="E30" s="3578"/>
      <c r="F30" s="3578"/>
      <c r="G30" s="3578"/>
      <c r="H30" s="3578"/>
      <c r="I30" s="3578"/>
      <c r="J30" s="3578"/>
      <c r="K30" s="3578"/>
      <c r="L30" s="3578"/>
      <c r="M30" s="3578"/>
      <c r="N30" s="3578"/>
    </row>
    <row r="31" spans="2:14">
      <c r="B31" s="3577"/>
      <c r="C31" s="3577"/>
      <c r="D31" s="3578" t="s">
        <v>24</v>
      </c>
      <c r="E31" s="3578" t="s">
        <v>25</v>
      </c>
      <c r="F31" s="3578"/>
      <c r="G31" s="3578"/>
      <c r="H31" s="3578"/>
      <c r="I31" s="3578"/>
      <c r="J31" s="3578"/>
      <c r="K31" s="3578"/>
      <c r="L31" s="3578" t="s">
        <v>26</v>
      </c>
      <c r="M31" s="3578"/>
      <c r="N31" s="3578"/>
    </row>
    <row r="32" spans="2:14">
      <c r="B32" s="3577"/>
      <c r="C32" s="3577"/>
      <c r="D32" s="3578"/>
      <c r="E32" s="3578" t="s">
        <v>27</v>
      </c>
      <c r="F32" s="3578" t="s">
        <v>3097</v>
      </c>
      <c r="G32" s="3578" t="s">
        <v>3285</v>
      </c>
      <c r="H32" s="3578" t="s">
        <v>3286</v>
      </c>
      <c r="I32" s="3578" t="s">
        <v>3193</v>
      </c>
      <c r="J32" s="3578" t="s">
        <v>3287</v>
      </c>
      <c r="K32" s="3578" t="s">
        <v>35</v>
      </c>
      <c r="L32" s="3578" t="s">
        <v>27</v>
      </c>
      <c r="M32" s="3578" t="s">
        <v>2309</v>
      </c>
      <c r="N32" s="3579" t="s">
        <v>3277</v>
      </c>
    </row>
    <row r="33" spans="2:14">
      <c r="B33" s="3577"/>
      <c r="C33" s="3577"/>
      <c r="D33" s="3578"/>
      <c r="E33" s="3578"/>
      <c r="F33" s="3578"/>
      <c r="G33" s="3578"/>
      <c r="H33" s="3578"/>
      <c r="I33" s="3578"/>
      <c r="J33" s="3578"/>
      <c r="K33" s="3578"/>
      <c r="L33" s="3578"/>
      <c r="M33" s="3578"/>
      <c r="N33" s="3579" t="s">
        <v>3278</v>
      </c>
    </row>
    <row r="34" spans="2:14">
      <c r="B34" s="3585" t="s">
        <v>3299</v>
      </c>
      <c r="C34" s="3580" t="s">
        <v>3293</v>
      </c>
      <c r="D34" s="3580">
        <v>11143.56</v>
      </c>
      <c r="E34" s="3580">
        <v>9375.6</v>
      </c>
      <c r="F34" s="3580">
        <v>9375.6</v>
      </c>
      <c r="G34" s="3580">
        <v>0</v>
      </c>
      <c r="H34" s="3579"/>
      <c r="I34" s="3579"/>
      <c r="J34" s="3579"/>
      <c r="K34" s="3580">
        <v>0</v>
      </c>
      <c r="L34" s="3580">
        <v>1767.96</v>
      </c>
      <c r="M34" s="3580">
        <v>809.96</v>
      </c>
      <c r="N34" s="3580">
        <v>958</v>
      </c>
    </row>
    <row r="35" spans="2:14">
      <c r="B35" s="3581"/>
      <c r="C35" s="3580" t="s">
        <v>3292</v>
      </c>
      <c r="D35" s="3580">
        <v>11894.1</v>
      </c>
      <c r="E35" s="3580">
        <v>11029.11</v>
      </c>
      <c r="F35" s="3580">
        <v>11029.11</v>
      </c>
      <c r="G35" s="3580">
        <v>0</v>
      </c>
      <c r="H35" s="3579"/>
      <c r="I35" s="3579"/>
      <c r="J35" s="3580">
        <v>0</v>
      </c>
      <c r="K35" s="3580">
        <v>0</v>
      </c>
      <c r="L35" s="3580">
        <v>864.99</v>
      </c>
      <c r="M35" s="3580">
        <v>864.99</v>
      </c>
      <c r="N35" s="3580">
        <v>0</v>
      </c>
    </row>
    <row r="36" spans="2:14">
      <c r="B36" s="3581"/>
      <c r="C36" s="3580" t="s">
        <v>3290</v>
      </c>
      <c r="D36" s="3580">
        <v>11089.36</v>
      </c>
      <c r="E36" s="3580">
        <v>10167.780000000001</v>
      </c>
      <c r="F36" s="3580">
        <v>10167.780000000001</v>
      </c>
      <c r="G36" s="3580">
        <v>0</v>
      </c>
      <c r="H36" s="3580">
        <v>0</v>
      </c>
      <c r="I36" s="3579"/>
      <c r="J36" s="3580">
        <v>0</v>
      </c>
      <c r="K36" s="3580">
        <v>0</v>
      </c>
      <c r="L36" s="3580">
        <v>921.58</v>
      </c>
      <c r="M36" s="3580">
        <v>921.58</v>
      </c>
      <c r="N36" s="3580">
        <v>0</v>
      </c>
    </row>
    <row r="37" spans="2:14">
      <c r="B37" s="3581"/>
      <c r="C37" s="3580" t="s">
        <v>3296</v>
      </c>
      <c r="D37" s="3580">
        <v>11089.36</v>
      </c>
      <c r="E37" s="3580">
        <v>10167.780000000001</v>
      </c>
      <c r="F37" s="3580">
        <v>10167.780000000001</v>
      </c>
      <c r="G37" s="3580">
        <v>0</v>
      </c>
      <c r="H37" s="3579"/>
      <c r="I37" s="3579"/>
      <c r="J37" s="3579"/>
      <c r="K37" s="3580">
        <v>0</v>
      </c>
      <c r="L37" s="3580">
        <v>921.58</v>
      </c>
      <c r="M37" s="3580">
        <v>921.58</v>
      </c>
      <c r="N37" s="3580">
        <v>0</v>
      </c>
    </row>
    <row r="38" spans="2:14">
      <c r="B38" s="3581"/>
      <c r="C38" s="3580" t="s">
        <v>3294</v>
      </c>
      <c r="D38" s="3580">
        <v>11968.39</v>
      </c>
      <c r="E38" s="3580">
        <v>11099.29</v>
      </c>
      <c r="F38" s="3580">
        <v>11099.29</v>
      </c>
      <c r="G38" s="3580">
        <v>0</v>
      </c>
      <c r="H38" s="3579"/>
      <c r="I38" s="3579"/>
      <c r="J38" s="3579"/>
      <c r="K38" s="3580">
        <v>0</v>
      </c>
      <c r="L38" s="3580">
        <v>869.1</v>
      </c>
      <c r="M38" s="3580">
        <v>869.1</v>
      </c>
      <c r="N38" s="3580">
        <v>0</v>
      </c>
    </row>
    <row r="39" spans="2:14">
      <c r="B39" s="3581"/>
      <c r="C39" s="3580" t="s">
        <v>3288</v>
      </c>
      <c r="D39" s="3580">
        <v>23663.919999999998</v>
      </c>
      <c r="E39" s="3580">
        <v>20229.97</v>
      </c>
      <c r="F39" s="3580">
        <v>0</v>
      </c>
      <c r="G39" s="3580">
        <v>17394.77</v>
      </c>
      <c r="H39" s="3580">
        <v>2835.2</v>
      </c>
      <c r="I39" s="3579"/>
      <c r="J39" s="3580">
        <v>0</v>
      </c>
      <c r="K39" s="3580">
        <v>0</v>
      </c>
      <c r="L39" s="3580">
        <v>3433.95</v>
      </c>
      <c r="M39" s="3580">
        <v>3433.95</v>
      </c>
      <c r="N39" s="3580">
        <v>0</v>
      </c>
    </row>
    <row r="40" spans="2:14">
      <c r="B40" s="3581"/>
      <c r="C40" s="3580" t="s">
        <v>3289</v>
      </c>
      <c r="D40" s="3580">
        <v>2598.08</v>
      </c>
      <c r="E40" s="3580">
        <v>2263.4699999999998</v>
      </c>
      <c r="F40" s="3580">
        <v>0</v>
      </c>
      <c r="G40" s="3580">
        <v>1898.67</v>
      </c>
      <c r="H40" s="3580">
        <v>364.8</v>
      </c>
      <c r="I40" s="3579"/>
      <c r="J40" s="3580">
        <v>0</v>
      </c>
      <c r="K40" s="3580">
        <v>0</v>
      </c>
      <c r="L40" s="3580">
        <v>334.61</v>
      </c>
      <c r="M40" s="3580">
        <v>334.61</v>
      </c>
      <c r="N40" s="3580">
        <v>0</v>
      </c>
    </row>
    <row r="41" spans="2:14">
      <c r="B41" s="3581"/>
      <c r="C41" s="3579" t="s">
        <v>3291</v>
      </c>
      <c r="D41" s="3580">
        <v>1612</v>
      </c>
      <c r="E41" s="3580">
        <v>0</v>
      </c>
      <c r="F41" s="3580">
        <v>0</v>
      </c>
      <c r="G41" s="3580">
        <v>0</v>
      </c>
      <c r="H41" s="3579"/>
      <c r="I41" s="3579"/>
      <c r="J41" s="3580">
        <v>0</v>
      </c>
      <c r="K41" s="3580">
        <v>0</v>
      </c>
      <c r="L41" s="3580">
        <v>1612</v>
      </c>
      <c r="M41" s="3580">
        <v>0</v>
      </c>
      <c r="N41" s="3580">
        <v>1612</v>
      </c>
    </row>
    <row r="42" spans="2:14">
      <c r="B42" s="3581"/>
      <c r="C42" s="3579" t="s">
        <v>3295</v>
      </c>
      <c r="D42" s="3580">
        <v>42</v>
      </c>
      <c r="E42" s="3580">
        <v>0</v>
      </c>
      <c r="F42" s="3580">
        <v>0</v>
      </c>
      <c r="G42" s="3580">
        <v>0</v>
      </c>
      <c r="H42" s="3579"/>
      <c r="I42" s="3579"/>
      <c r="J42" s="3579"/>
      <c r="K42" s="3580">
        <v>0</v>
      </c>
      <c r="L42" s="3580">
        <v>42</v>
      </c>
      <c r="M42" s="3580">
        <v>42</v>
      </c>
      <c r="N42" s="3580">
        <v>0</v>
      </c>
    </row>
    <row r="43" spans="2:14">
      <c r="B43" s="3581"/>
      <c r="C43" s="3579" t="s">
        <v>3119</v>
      </c>
      <c r="D43" s="3580">
        <v>24904.22</v>
      </c>
      <c r="E43" s="3580">
        <v>24904.22</v>
      </c>
      <c r="F43" s="3579"/>
      <c r="G43" s="3579"/>
      <c r="H43" s="3579"/>
      <c r="I43" s="3579"/>
      <c r="J43" s="3579"/>
      <c r="K43" s="3580">
        <v>24904.22</v>
      </c>
      <c r="L43" s="3580">
        <v>0</v>
      </c>
      <c r="M43" s="3579"/>
      <c r="N43" s="3580">
        <v>0</v>
      </c>
    </row>
    <row r="44" spans="2:14">
      <c r="B44" s="3582"/>
      <c r="C44" s="3579" t="s">
        <v>27</v>
      </c>
      <c r="D44" s="3580">
        <v>110004.99</v>
      </c>
      <c r="E44" s="3580">
        <v>99237.22</v>
      </c>
      <c r="F44" s="3580">
        <v>51839.56</v>
      </c>
      <c r="G44" s="3580">
        <v>19293.439999999999</v>
      </c>
      <c r="H44" s="3580">
        <v>3200</v>
      </c>
      <c r="I44" s="3580">
        <v>0</v>
      </c>
      <c r="J44" s="3580">
        <v>0</v>
      </c>
      <c r="K44" s="3580">
        <v>24904.22</v>
      </c>
      <c r="L44" s="3580">
        <v>10767.77</v>
      </c>
      <c r="M44" s="3580">
        <v>8197.77</v>
      </c>
      <c r="N44" s="3580">
        <v>2570</v>
      </c>
    </row>
    <row r="45" spans="2:14">
      <c r="B45" s="3583" t="s">
        <v>3297</v>
      </c>
      <c r="C45" s="3584"/>
      <c r="D45" s="3580">
        <v>139305</v>
      </c>
      <c r="E45" s="3580">
        <v>118871</v>
      </c>
      <c r="F45" s="3580">
        <v>66516</v>
      </c>
      <c r="G45" s="3580">
        <v>21505</v>
      </c>
      <c r="H45" s="3580">
        <v>4600</v>
      </c>
      <c r="I45" s="3580">
        <v>0</v>
      </c>
      <c r="J45" s="3580">
        <v>0</v>
      </c>
      <c r="K45" s="3580">
        <v>26250</v>
      </c>
      <c r="L45" s="3580">
        <v>20434</v>
      </c>
      <c r="M45" s="3580">
        <v>17750</v>
      </c>
      <c r="N45" s="3580">
        <v>2684</v>
      </c>
    </row>
    <row r="46" spans="2:14">
      <c r="B46" s="3583" t="s">
        <v>3298</v>
      </c>
      <c r="C46" s="3584"/>
      <c r="D46" s="3580">
        <v>163450</v>
      </c>
      <c r="E46" s="3580">
        <v>147555</v>
      </c>
      <c r="F46" s="3579"/>
      <c r="G46" s="3579"/>
      <c r="H46" s="3579"/>
      <c r="I46" s="3580">
        <v>44170</v>
      </c>
      <c r="J46" s="3580">
        <v>64080</v>
      </c>
      <c r="K46" s="3580">
        <v>39305</v>
      </c>
      <c r="L46" s="3580">
        <v>15895</v>
      </c>
      <c r="M46" s="3580">
        <v>15845</v>
      </c>
      <c r="N46" s="3580">
        <v>50</v>
      </c>
    </row>
    <row r="47" spans="2:14">
      <c r="B47" s="3583" t="s">
        <v>24</v>
      </c>
      <c r="C47" s="3584"/>
      <c r="D47" s="3580">
        <v>412759.99</v>
      </c>
      <c r="E47" s="3580">
        <v>365663.22</v>
      </c>
      <c r="F47" s="3580">
        <v>118355.56</v>
      </c>
      <c r="G47" s="3580">
        <v>40798.44</v>
      </c>
      <c r="H47" s="3580">
        <v>7800</v>
      </c>
      <c r="I47" s="3580">
        <v>44170</v>
      </c>
      <c r="J47" s="3580">
        <v>64080</v>
      </c>
      <c r="K47" s="3580">
        <v>90459.22</v>
      </c>
      <c r="L47" s="3580">
        <v>47096.77</v>
      </c>
      <c r="M47" s="3580">
        <v>41792.769999999997</v>
      </c>
      <c r="N47" s="3580">
        <v>5304</v>
      </c>
    </row>
    <row r="49" spans="1:18" ht="14.25" thickBot="1"/>
    <row r="50" spans="1:18" ht="24" thickBot="1">
      <c r="A50" s="3590" t="s">
        <v>2024</v>
      </c>
      <c r="B50" s="3590" t="s">
        <v>3300</v>
      </c>
      <c r="C50" s="3590" t="s">
        <v>2025</v>
      </c>
      <c r="D50" s="3590" t="s">
        <v>3301</v>
      </c>
      <c r="E50" s="3593" t="s">
        <v>2026</v>
      </c>
      <c r="F50" s="3592"/>
      <c r="G50" s="3594"/>
      <c r="H50" s="3593" t="s">
        <v>2027</v>
      </c>
      <c r="I50" s="3592"/>
      <c r="J50" s="3594"/>
      <c r="K50" s="3590" t="s">
        <v>2028</v>
      </c>
      <c r="L50" s="3590" t="s">
        <v>2029</v>
      </c>
      <c r="M50" s="3590" t="s">
        <v>3302</v>
      </c>
      <c r="N50" s="3590" t="s">
        <v>3324</v>
      </c>
      <c r="O50" s="3590" t="s">
        <v>3303</v>
      </c>
      <c r="P50" s="3586" t="s">
        <v>3304</v>
      </c>
      <c r="Q50" s="3590" t="s">
        <v>3306</v>
      </c>
      <c r="R50" s="3590" t="s">
        <v>3307</v>
      </c>
    </row>
    <row r="51" spans="1:18" ht="14.25" thickBot="1">
      <c r="A51" s="3591"/>
      <c r="B51" s="3591"/>
      <c r="C51" s="3591"/>
      <c r="D51" s="3591"/>
      <c r="E51" s="3587" t="s">
        <v>3308</v>
      </c>
      <c r="F51" s="3587" t="s">
        <v>3309</v>
      </c>
      <c r="G51" s="3587" t="s">
        <v>2031</v>
      </c>
      <c r="H51" s="3587" t="s">
        <v>2032</v>
      </c>
      <c r="I51" s="3587" t="s">
        <v>3310</v>
      </c>
      <c r="J51" s="3587" t="s">
        <v>2031</v>
      </c>
      <c r="K51" s="3591"/>
      <c r="L51" s="3591"/>
      <c r="M51" s="3591"/>
      <c r="N51" s="3591"/>
      <c r="O51" s="3591"/>
      <c r="P51" s="3587" t="s">
        <v>3305</v>
      </c>
      <c r="Q51" s="3591"/>
      <c r="R51" s="3591"/>
    </row>
    <row r="52" spans="1:18" ht="48.75" thickBot="1">
      <c r="A52" s="3590" t="s">
        <v>3311</v>
      </c>
      <c r="B52" s="3588" t="s">
        <v>3313</v>
      </c>
      <c r="C52" s="3602" t="s">
        <v>3312</v>
      </c>
      <c r="D52" s="3588" t="s">
        <v>3314</v>
      </c>
      <c r="E52" s="3590" t="s">
        <v>3315</v>
      </c>
      <c r="F52" s="3590" t="s">
        <v>3315</v>
      </c>
      <c r="G52" s="3590" t="s">
        <v>3315</v>
      </c>
      <c r="H52" s="3596">
        <v>2.35</v>
      </c>
      <c r="I52" s="3596">
        <v>2.3199999999999998</v>
      </c>
      <c r="J52" s="3596">
        <v>2.3199999999999998</v>
      </c>
      <c r="K52" s="3587" t="s">
        <v>3323</v>
      </c>
      <c r="L52" s="3587" t="s">
        <v>3323</v>
      </c>
      <c r="M52" s="3590" t="s">
        <v>3325</v>
      </c>
      <c r="N52" s="3588">
        <f>'数据-基础表'!A14</f>
        <v>40473.199999999997</v>
      </c>
      <c r="O52" s="3596">
        <f>D47</f>
        <v>412759.99</v>
      </c>
      <c r="P52" s="3596">
        <f ca="1">结果表!E42</f>
        <v>47953</v>
      </c>
      <c r="Q52" s="3596">
        <f ca="1">结果表!D42</f>
        <v>14094</v>
      </c>
      <c r="R52" s="3588">
        <v>194083</v>
      </c>
    </row>
    <row r="53" spans="1:18" ht="79.5" thickBot="1">
      <c r="A53" s="3595"/>
      <c r="B53" s="3588" t="s">
        <v>3316</v>
      </c>
      <c r="C53" s="3602" t="s">
        <v>3317</v>
      </c>
      <c r="D53" s="3588" t="s">
        <v>3321</v>
      </c>
      <c r="E53" s="3595"/>
      <c r="F53" s="3595"/>
      <c r="G53" s="3595"/>
      <c r="H53" s="3597"/>
      <c r="I53" s="3597"/>
      <c r="J53" s="3597"/>
      <c r="K53" s="3587" t="s">
        <v>3326</v>
      </c>
      <c r="L53" s="3587" t="s">
        <v>3323</v>
      </c>
      <c r="M53" s="3595"/>
      <c r="N53" s="3588">
        <f>'数据-基础表'!A13</f>
        <v>34393.699999999997</v>
      </c>
      <c r="O53" s="3597"/>
      <c r="P53" s="3597"/>
      <c r="Q53" s="3597"/>
      <c r="R53" s="3588">
        <v>164930</v>
      </c>
    </row>
    <row r="54" spans="1:18" ht="48.75" thickBot="1">
      <c r="A54" s="3591"/>
      <c r="B54" s="3588" t="s">
        <v>3319</v>
      </c>
      <c r="C54" s="3602" t="s">
        <v>3318</v>
      </c>
      <c r="D54" s="3588" t="s">
        <v>3320</v>
      </c>
      <c r="E54" s="3595"/>
      <c r="F54" s="3595"/>
      <c r="G54" s="3595"/>
      <c r="H54" s="3597"/>
      <c r="I54" s="3597"/>
      <c r="J54" s="3597"/>
      <c r="K54" s="3587" t="s">
        <v>3323</v>
      </c>
      <c r="L54" s="3587" t="s">
        <v>3323</v>
      </c>
      <c r="M54" s="3595"/>
      <c r="N54" s="3588">
        <f>'数据-基础表'!A15</f>
        <v>46448.2</v>
      </c>
      <c r="O54" s="3597"/>
      <c r="P54" s="3597"/>
      <c r="Q54" s="3597"/>
      <c r="R54" s="3588">
        <v>222735</v>
      </c>
    </row>
    <row r="55" spans="1:18" ht="14.25" thickBot="1">
      <c r="A55" s="3599" t="s">
        <v>24</v>
      </c>
      <c r="B55" s="3600"/>
      <c r="C55" s="3600"/>
      <c r="D55" s="3600"/>
      <c r="E55" s="3600"/>
      <c r="F55" s="3600"/>
      <c r="G55" s="3600"/>
      <c r="H55" s="3600"/>
      <c r="I55" s="3600"/>
      <c r="J55" s="3600"/>
      <c r="K55" s="3600"/>
      <c r="L55" s="3600"/>
      <c r="M55" s="3601"/>
      <c r="N55" s="3588">
        <f>SUM(N52:N54)</f>
        <v>121315.09999999999</v>
      </c>
      <c r="O55" s="3598"/>
      <c r="P55" s="3598"/>
      <c r="Q55" s="3598"/>
      <c r="R55" s="3588">
        <f>SUM(R52:R54)</f>
        <v>581748</v>
      </c>
    </row>
    <row r="56" spans="1:18" ht="14.25" thickBot="1">
      <c r="A56" s="3599" t="s">
        <v>3322</v>
      </c>
      <c r="B56" s="3600"/>
      <c r="C56" s="3600"/>
      <c r="D56" s="3600"/>
      <c r="E56" s="3600"/>
      <c r="F56" s="3600"/>
      <c r="G56" s="3600"/>
      <c r="H56" s="3600"/>
      <c r="I56" s="3600"/>
      <c r="J56" s="3600"/>
      <c r="K56" s="3600"/>
      <c r="L56" s="3600"/>
      <c r="M56" s="3600"/>
      <c r="N56" s="3600"/>
      <c r="O56" s="3600"/>
      <c r="P56" s="3600"/>
      <c r="Q56" s="3601"/>
      <c r="R56" s="3589">
        <f>R55</f>
        <v>581748</v>
      </c>
    </row>
  </sheetData>
  <mergeCells count="44">
    <mergeCell ref="A56:Q56"/>
    <mergeCell ref="A52:A54"/>
    <mergeCell ref="J52:J54"/>
    <mergeCell ref="M52:M54"/>
    <mergeCell ref="O52:O55"/>
    <mergeCell ref="P52:P55"/>
    <mergeCell ref="Q52:Q55"/>
    <mergeCell ref="A55:M55"/>
    <mergeCell ref="N50:N51"/>
    <mergeCell ref="O50:O51"/>
    <mergeCell ref="Q50:Q51"/>
    <mergeCell ref="R50:R51"/>
    <mergeCell ref="E52:E54"/>
    <mergeCell ref="F52:F54"/>
    <mergeCell ref="G52:G54"/>
    <mergeCell ref="H52:H54"/>
    <mergeCell ref="I52:I54"/>
    <mergeCell ref="D50:D51"/>
    <mergeCell ref="E50:G50"/>
    <mergeCell ref="H50:J50"/>
    <mergeCell ref="K50:K51"/>
    <mergeCell ref="L50:L51"/>
    <mergeCell ref="M50:M51"/>
    <mergeCell ref="B45:C45"/>
    <mergeCell ref="B46:C46"/>
    <mergeCell ref="B47:C47"/>
    <mergeCell ref="A50:A51"/>
    <mergeCell ref="B50:B51"/>
    <mergeCell ref="C50:C51"/>
    <mergeCell ref="J32:J33"/>
    <mergeCell ref="K32:K33"/>
    <mergeCell ref="L32:L33"/>
    <mergeCell ref="M32:M33"/>
    <mergeCell ref="B30:C33"/>
    <mergeCell ref="B34:B44"/>
    <mergeCell ref="D30:N30"/>
    <mergeCell ref="D31:D33"/>
    <mergeCell ref="E31:K31"/>
    <mergeCell ref="L31:N31"/>
    <mergeCell ref="E32:E33"/>
    <mergeCell ref="F32:F33"/>
    <mergeCell ref="G32:G33"/>
    <mergeCell ref="H32:H33"/>
    <mergeCell ref="I32:I33"/>
  </mergeCells>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54" t="s">
        <v>2033</v>
      </c>
      <c r="B1" s="3254"/>
      <c r="C1" s="3254"/>
      <c r="D1" s="3254"/>
      <c r="E1" s="3254"/>
      <c r="F1" s="3254"/>
      <c r="G1" s="3254"/>
      <c r="H1" s="3254"/>
      <c r="I1" s="3254"/>
      <c r="J1" s="3254"/>
      <c r="K1" s="3254"/>
      <c r="L1" s="3254"/>
      <c r="M1" s="3254"/>
      <c r="N1" s="3254"/>
      <c r="O1" s="3254"/>
      <c r="P1" s="3254"/>
      <c r="Q1" s="3254"/>
      <c r="R1" s="3254"/>
    </row>
    <row r="2" spans="1:18">
      <c r="A2" s="1803" t="s">
        <v>2035</v>
      </c>
      <c r="B2" s="1803"/>
      <c r="C2" s="1803"/>
      <c r="D2" s="1803"/>
      <c r="E2" s="1803"/>
      <c r="F2" s="1803"/>
      <c r="G2" s="1803"/>
      <c r="H2" s="1803"/>
      <c r="I2" s="1804"/>
      <c r="J2" s="1804"/>
      <c r="K2" s="1805" t="str">
        <f>"估价期日："&amp;TEXT(项目基本情况!D3,"yyyy年m月d日;;")</f>
        <v>估价期日：2017年10月27日</v>
      </c>
      <c r="L2" s="1803"/>
      <c r="M2" s="1803"/>
      <c r="N2" s="1803"/>
      <c r="O2" s="1803"/>
      <c r="P2" s="1803"/>
      <c r="Q2" s="1803"/>
      <c r="R2" s="1805" t="str">
        <f>"估价期日的国有建设用地使用权性质："&amp;项目基本情况!B16</f>
        <v>估价期日的国有建设用地使用权性质：出让</v>
      </c>
    </row>
    <row r="3" spans="1:18" ht="23.25" customHeight="1">
      <c r="A3" s="3255" t="s">
        <v>2024</v>
      </c>
      <c r="B3" s="3255" t="s">
        <v>2730</v>
      </c>
      <c r="C3" s="3256" t="s">
        <v>2025</v>
      </c>
      <c r="D3" s="3255" t="s">
        <v>2734</v>
      </c>
      <c r="E3" s="3258" t="s">
        <v>2026</v>
      </c>
      <c r="F3" s="3258"/>
      <c r="G3" s="3258"/>
      <c r="H3" s="3258" t="s">
        <v>2027</v>
      </c>
      <c r="I3" s="3258"/>
      <c r="J3" s="3258"/>
      <c r="K3" s="3256" t="s">
        <v>2028</v>
      </c>
      <c r="L3" s="3256" t="s">
        <v>2029</v>
      </c>
      <c r="M3" s="3255" t="s">
        <v>2731</v>
      </c>
      <c r="N3" s="3257" t="str">
        <f>"（分摊）"&amp;项目基本情况!B16&amp;"国有建设用地使用权面积/㎡"</f>
        <v>（分摊）出让国有建设用地使用权面积/㎡</v>
      </c>
      <c r="O3" s="3255" t="s">
        <v>2058</v>
      </c>
      <c r="P3" s="3256" t="s">
        <v>2038</v>
      </c>
      <c r="Q3" s="3256" t="s">
        <v>2059</v>
      </c>
      <c r="R3" s="3256" t="s">
        <v>2030</v>
      </c>
    </row>
    <row r="4" spans="1:18" ht="36.75" customHeight="1">
      <c r="A4" s="3255"/>
      <c r="B4" s="3255"/>
      <c r="C4" s="3256"/>
      <c r="D4" s="3255"/>
      <c r="E4" s="2669" t="s">
        <v>2037</v>
      </c>
      <c r="F4" s="2669" t="s">
        <v>2743</v>
      </c>
      <c r="G4" s="2669" t="s">
        <v>2031</v>
      </c>
      <c r="H4" s="2669" t="s">
        <v>2032</v>
      </c>
      <c r="I4" s="2669" t="s">
        <v>2744</v>
      </c>
      <c r="J4" s="2669" t="s">
        <v>2031</v>
      </c>
      <c r="K4" s="3256"/>
      <c r="L4" s="3256"/>
      <c r="M4" s="3255"/>
      <c r="N4" s="3257"/>
      <c r="O4" s="3255"/>
      <c r="P4" s="3256"/>
      <c r="Q4" s="3256"/>
      <c r="R4" s="3256"/>
    </row>
    <row r="5" spans="1:18" ht="135" customHeight="1">
      <c r="A5" s="1938" t="s">
        <v>2654</v>
      </c>
      <c r="B5" s="2888" t="s">
        <v>2652</v>
      </c>
      <c r="C5" s="2668">
        <v>22</v>
      </c>
      <c r="D5" s="2667" t="s">
        <v>2653</v>
      </c>
      <c r="E5" s="1806" t="str">
        <f>项目基本情况!B12</f>
        <v>住宅、商业、地下车库</v>
      </c>
      <c r="F5" s="2667">
        <v>258</v>
      </c>
      <c r="G5" s="1806">
        <f>项目基本情况!B13</f>
        <v>0</v>
      </c>
      <c r="H5" s="2667">
        <v>1.5</v>
      </c>
      <c r="I5" s="2667">
        <v>1.5</v>
      </c>
      <c r="J5" s="2667">
        <v>1.5</v>
      </c>
      <c r="K5" s="1806" t="str">
        <f>"红线外"&amp;项目基本情况!T40&amp;"、宗地红线内"&amp;项目基本情况!B35</f>
        <v>红线外七通、宗地红线内</v>
      </c>
      <c r="L5" s="1806" t="str">
        <f>"红线外"&amp;项目基本情况!T40&amp;"、宗地红线内场地"&amp;项目基本情况!D36</f>
        <v>红线外七通、宗地红线内场地</v>
      </c>
      <c r="M5" s="1806">
        <f>IF(项目基本情况!B16="出让",项目基本情况!D20,"——")</f>
        <v>0</v>
      </c>
      <c r="N5" s="1806">
        <f>项目基本情况!C22</f>
        <v>121315.1</v>
      </c>
      <c r="O5" s="1806">
        <f>项目基本情况!C21</f>
        <v>412759.99</v>
      </c>
      <c r="P5" s="1806">
        <f ca="1">结果表!E42</f>
        <v>47953</v>
      </c>
      <c r="Q5" s="1806">
        <f ca="1">结果表!D42</f>
        <v>14094</v>
      </c>
      <c r="R5" s="1807">
        <f ca="1">结果表!C42</f>
        <v>581748</v>
      </c>
    </row>
    <row r="6" spans="1:18">
      <c r="A6" s="3251" t="str">
        <f>IF(项目基本情况!B9="市场价格","——","抵押价格")</f>
        <v>抵押价格</v>
      </c>
      <c r="B6" s="3252"/>
      <c r="C6" s="3252"/>
      <c r="D6" s="3252"/>
      <c r="E6" s="3252"/>
      <c r="F6" s="3252"/>
      <c r="G6" s="3252"/>
      <c r="H6" s="3252"/>
      <c r="I6" s="3252"/>
      <c r="J6" s="3252"/>
      <c r="K6" s="3252"/>
      <c r="L6" s="3252"/>
      <c r="M6" s="3252"/>
      <c r="N6" s="3252"/>
      <c r="O6" s="3252"/>
      <c r="P6" s="3252"/>
      <c r="Q6" s="3253"/>
      <c r="R6" s="1808">
        <f ca="1">结果表!O39</f>
        <v>581748</v>
      </c>
    </row>
    <row r="7" spans="1:18">
      <c r="A7" s="3251" t="str">
        <f>IF(项目基本情况!B9="市场价格","——",IF(项目基本情况!E8="已注销及未注销","抵押担保权已注销时的抵押价格","——"))</f>
        <v>——</v>
      </c>
      <c r="B7" s="3252"/>
      <c r="C7" s="3252"/>
      <c r="D7" s="3252"/>
      <c r="E7" s="3252"/>
      <c r="F7" s="3252"/>
      <c r="G7" s="3252"/>
      <c r="H7" s="3252"/>
      <c r="I7" s="3252"/>
      <c r="J7" s="3252"/>
      <c r="K7" s="3252"/>
      <c r="L7" s="3252"/>
      <c r="M7" s="3252"/>
      <c r="N7" s="3252"/>
      <c r="O7" s="3252"/>
      <c r="P7" s="3252"/>
      <c r="Q7" s="3253"/>
      <c r="R7" s="1808" t="str">
        <f>结果表!O40</f>
        <v>——</v>
      </c>
    </row>
    <row r="8" spans="1:18">
      <c r="A8" s="3251">
        <f>IF(项目基本情况!B9="市场价格","——",项目基本情况!E9)</f>
        <v>0</v>
      </c>
      <c r="B8" s="3252"/>
      <c r="C8" s="3252"/>
      <c r="D8" s="3252"/>
      <c r="E8" s="3252"/>
      <c r="F8" s="3252"/>
      <c r="G8" s="3252"/>
      <c r="H8" s="3252"/>
      <c r="I8" s="3252"/>
      <c r="J8" s="3252"/>
      <c r="K8" s="3252"/>
      <c r="L8" s="3252"/>
      <c r="M8" s="3252"/>
      <c r="N8" s="3252"/>
      <c r="O8" s="3252"/>
      <c r="P8" s="3252"/>
      <c r="Q8" s="3253"/>
      <c r="R8" s="1808" t="str">
        <f>结果表!O41</f>
        <v>——</v>
      </c>
    </row>
    <row r="9" spans="1:18">
      <c r="A9" s="1809" t="s">
        <v>2036</v>
      </c>
      <c r="B9" s="1803"/>
      <c r="C9" s="1803"/>
      <c r="D9" s="1803"/>
      <c r="E9" s="1803"/>
      <c r="F9" s="1803"/>
      <c r="G9" s="1803"/>
      <c r="H9" s="1803"/>
      <c r="I9" s="1803"/>
      <c r="J9" s="1803"/>
      <c r="K9" s="1803"/>
      <c r="L9" s="1803"/>
      <c r="M9" s="1803"/>
      <c r="N9" s="1803"/>
      <c r="O9" s="1803"/>
      <c r="P9" s="1803"/>
      <c r="Q9" s="1803"/>
      <c r="R9" s="1803"/>
    </row>
    <row r="10" spans="1:18">
      <c r="A10" s="1810"/>
      <c r="B10" s="1803"/>
      <c r="C10" s="1803"/>
      <c r="D10" s="1803"/>
      <c r="E10" s="1803"/>
      <c r="F10" s="1803"/>
      <c r="G10" s="1803"/>
      <c r="H10" s="1803"/>
      <c r="I10" s="1803"/>
      <c r="J10" s="1803"/>
      <c r="K10" s="1803"/>
      <c r="L10" s="1803"/>
      <c r="M10" s="1803"/>
      <c r="N10" s="1803"/>
      <c r="O10" s="1803"/>
      <c r="P10" s="1803"/>
      <c r="Q10" s="1803"/>
      <c r="R10" s="1803"/>
    </row>
    <row r="11" spans="1:18">
      <c r="A11" s="1810" t="s">
        <v>2023</v>
      </c>
      <c r="B11" s="1811"/>
      <c r="C11" s="1811"/>
      <c r="D11" s="1811"/>
      <c r="E11" s="1811"/>
      <c r="F11" s="1811"/>
      <c r="G11" s="1811"/>
      <c r="H11" s="1811"/>
      <c r="I11" s="1811"/>
      <c r="J11" s="1811"/>
      <c r="K11" s="1811"/>
      <c r="L11" s="1811"/>
      <c r="M11" s="1811"/>
      <c r="N11" s="1811"/>
      <c r="O11" s="1811"/>
      <c r="P11" s="1811"/>
      <c r="Q11" s="1811"/>
      <c r="R11" s="181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7"/>
      <c r="B14" s="2"/>
      <c r="C14" s="2"/>
      <c r="D14" s="2"/>
      <c r="E14" s="2"/>
      <c r="F14" s="2"/>
      <c r="G14" s="2"/>
      <c r="H14" s="2"/>
      <c r="I14" s="2"/>
      <c r="J14" s="2"/>
      <c r="K14" s="2"/>
      <c r="L14" s="2"/>
      <c r="M14" s="2"/>
      <c r="N14" s="2"/>
      <c r="O14" s="2"/>
      <c r="P14" s="2"/>
      <c r="Q14" s="2"/>
      <c r="R14" s="2"/>
    </row>
    <row r="15" spans="1:18">
      <c r="A15" s="1789"/>
    </row>
    <row r="16" spans="1:18">
      <c r="A16" s="1789"/>
    </row>
    <row r="17" spans="1:1">
      <c r="A17" s="1789"/>
    </row>
    <row r="18" spans="1:1">
      <c r="A18" s="1789"/>
    </row>
    <row r="19" spans="1:1">
      <c r="A19" s="1789"/>
    </row>
    <row r="20" spans="1:1">
      <c r="A20" s="1788"/>
    </row>
    <row r="21" spans="1:1">
      <c r="A21" s="1788"/>
    </row>
    <row r="22" spans="1:1">
      <c r="A22" s="1789"/>
    </row>
    <row r="23" spans="1:1">
      <c r="A23" s="1789"/>
    </row>
    <row r="24" spans="1:1">
      <c r="A24" s="1789"/>
    </row>
    <row r="25" spans="1:1">
      <c r="A25" s="1789"/>
    </row>
    <row r="26" spans="1:1">
      <c r="A26" s="1789"/>
    </row>
    <row r="27" spans="1:1">
      <c r="A27" s="1789"/>
    </row>
    <row r="28" spans="1:1">
      <c r="A28" s="1789"/>
    </row>
    <row r="29" spans="1:1">
      <c r="A29" s="1789"/>
    </row>
    <row r="30" spans="1:1">
      <c r="A30" s="1789"/>
    </row>
    <row r="31" spans="1:1">
      <c r="A31" s="1789"/>
    </row>
    <row r="32" spans="1:1">
      <c r="A32" s="1789"/>
    </row>
    <row r="33" spans="1:1">
      <c r="A33" s="1789"/>
    </row>
    <row r="34" spans="1:1">
      <c r="A34" s="1789"/>
    </row>
    <row r="35" spans="1:1">
      <c r="A35" s="1789"/>
    </row>
    <row r="36" spans="1:1">
      <c r="A36" s="1789"/>
    </row>
    <row r="37" spans="1:1">
      <c r="A37" s="178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98" customWidth="1"/>
    <col min="2" max="3" width="21.375" style="1798" customWidth="1"/>
    <col min="4" max="4" width="19.875" style="1798" customWidth="1"/>
    <col min="5" max="16384" width="9" style="1798"/>
  </cols>
  <sheetData>
    <row r="1" spans="1:4">
      <c r="A1" s="3259" t="s">
        <v>2060</v>
      </c>
      <c r="B1" s="3259"/>
      <c r="C1" s="3259"/>
      <c r="D1" s="3259"/>
    </row>
    <row r="2" spans="1:4" ht="47.25" customHeight="1">
      <c r="A2" s="3263" t="str">
        <f>"1.权利限制："&amp;项目基本情况!L24&amp;"未设定租赁等其他他项权利。"</f>
        <v>1.权利限制：根据估价对象《不动产权证书》——、《国有土地使用权》——，截至估价期日，估价对象抵押权未见登记。未设定租赁等其他他项权利。</v>
      </c>
      <c r="B2" s="3263"/>
      <c r="C2" s="3263"/>
      <c r="D2" s="3263"/>
    </row>
    <row r="3" spans="1:4" ht="48" customHeight="1">
      <c r="A3" s="325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59"/>
      <c r="C3" s="3259"/>
      <c r="D3" s="3259"/>
    </row>
    <row r="4" spans="1:4" ht="36.75" customHeight="1">
      <c r="A4" s="3259" t="str">
        <f>"3.估价规划限制条件：详见"&amp;项目基本情况!E21&amp;"。"</f>
        <v>3.估价规划限制条件：详见《建设工程规划许可证》[]、《出让合同》[]。</v>
      </c>
      <c r="B4" s="3259"/>
      <c r="C4" s="3259"/>
      <c r="D4" s="3259"/>
    </row>
    <row r="5" spans="1:4">
      <c r="A5" s="3262" t="s">
        <v>2061</v>
      </c>
      <c r="B5" s="3262"/>
      <c r="C5" s="3262"/>
      <c r="D5" s="3262"/>
    </row>
    <row r="6" spans="1:4">
      <c r="A6" s="3259" t="s">
        <v>2039</v>
      </c>
      <c r="B6" s="3259"/>
      <c r="C6" s="3259"/>
      <c r="D6" s="3259"/>
    </row>
    <row r="7" spans="1:4" ht="33" customHeight="1">
      <c r="A7" s="3259" t="s">
        <v>2572</v>
      </c>
      <c r="B7" s="3259"/>
      <c r="C7" s="3259"/>
      <c r="D7" s="3259"/>
    </row>
    <row r="8" spans="1:4" ht="32.25" customHeight="1">
      <c r="A8" s="325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59"/>
      <c r="C8" s="3259"/>
      <c r="D8" s="3259"/>
    </row>
    <row r="9" spans="1:4" ht="33.75" customHeight="1">
      <c r="A9" s="325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59"/>
      <c r="C9" s="3259"/>
      <c r="D9" s="3259"/>
    </row>
    <row r="10" spans="1:4">
      <c r="A10" s="3259" t="str">
        <f>IF(项目基本情况!B8="抵押","4.估价师所知悉的法定优先受偿款情况为：","——")</f>
        <v>4.估价师所知悉的法定优先受偿款情况为：</v>
      </c>
      <c r="B10" s="3259"/>
      <c r="C10" s="3259"/>
      <c r="D10" s="3259"/>
    </row>
    <row r="11" spans="1:4" ht="37.5" customHeight="1">
      <c r="A11" s="3261" t="str">
        <f>IF(项目基本情况!B8="抵押","（1）"&amp;CONCATENATE(项目基本情况!L24,项目基本情况!L25,项目基本情况!L26),"——")</f>
        <v>（1）根据估价对象《不动产权证书》——、《国有土地使用权》——，截至估价期日，估价对象抵押权未见登记。</v>
      </c>
      <c r="B11" s="3261"/>
      <c r="C11" s="3261"/>
      <c r="D11" s="3261"/>
    </row>
    <row r="12" spans="1:4" ht="168" customHeight="1">
      <c r="A12" s="3262" t="s">
        <v>2063</v>
      </c>
      <c r="B12" s="3262"/>
      <c r="C12" s="3262"/>
      <c r="D12" s="3262"/>
    </row>
    <row r="13" spans="1:4">
      <c r="A13" s="3260" t="s">
        <v>2745</v>
      </c>
      <c r="B13" s="3260"/>
      <c r="C13" s="3260"/>
      <c r="D13" s="3260"/>
    </row>
    <row r="14" spans="1:4">
      <c r="A14" s="3261" t="str">
        <f>IF(项目基本情况!B8="抵押","综上，"&amp;结果表!K47,"——")</f>
        <v>综上，本次评估不存在估价师知悉的法定优先受偿款</v>
      </c>
      <c r="B14" s="3261"/>
      <c r="C14" s="3261"/>
      <c r="D14" s="3261"/>
    </row>
    <row r="15" spans="1:4" ht="58.5" customHeight="1">
      <c r="A15" s="325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59"/>
      <c r="C15" s="3259"/>
      <c r="D15" s="3259"/>
    </row>
    <row r="16" spans="1:4" ht="70.5" customHeight="1">
      <c r="A16" s="325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59"/>
      <c r="C16" s="3259"/>
      <c r="D16" s="3259"/>
    </row>
    <row r="17" spans="1:4">
      <c r="A17" s="3259" t="s">
        <v>2701</v>
      </c>
      <c r="B17" s="3259"/>
      <c r="C17" s="3259"/>
      <c r="D17" s="3259"/>
    </row>
    <row r="18" spans="1:4">
      <c r="A18" s="3259" t="s">
        <v>2693</v>
      </c>
      <c r="B18" s="3259"/>
      <c r="C18" s="3259"/>
      <c r="D18" s="3259"/>
    </row>
    <row r="19" spans="1:4">
      <c r="A19" s="2889" t="s">
        <v>2694</v>
      </c>
      <c r="B19" s="2889" t="s">
        <v>2695</v>
      </c>
      <c r="C19" s="2889" t="s">
        <v>2696</v>
      </c>
      <c r="D19" s="2889" t="s">
        <v>2697</v>
      </c>
    </row>
    <row r="20" spans="1:4">
      <c r="A20" s="2889" t="str">
        <f>项目基本情况!B4</f>
        <v>欧红伟</v>
      </c>
      <c r="B20" s="2889">
        <f ca="1">项目基本情况!C4</f>
        <v>2000110082</v>
      </c>
      <c r="C20" s="2891"/>
      <c r="D20" s="1796" t="s">
        <v>2702</v>
      </c>
    </row>
    <row r="21" spans="1:4">
      <c r="A21" s="2889" t="str">
        <f>项目基本情况!D4</f>
        <v>梁津</v>
      </c>
      <c r="B21" s="2889">
        <f ca="1">项目基本情况!E4</f>
        <v>96010014</v>
      </c>
      <c r="C21" s="2891"/>
      <c r="D21" s="1796" t="s">
        <v>2703</v>
      </c>
    </row>
    <row r="23" spans="1:4">
      <c r="A23" s="3259" t="s">
        <v>2698</v>
      </c>
      <c r="B23" s="3259"/>
      <c r="C23" s="3259"/>
      <c r="D23" s="3259"/>
    </row>
    <row r="24" spans="1:4">
      <c r="A24" s="2889" t="s">
        <v>2694</v>
      </c>
      <c r="B24" s="2889" t="s">
        <v>2699</v>
      </c>
      <c r="C24" s="2889" t="s">
        <v>2696</v>
      </c>
      <c r="D24" s="2889" t="s">
        <v>2697</v>
      </c>
    </row>
    <row r="25" spans="1:4">
      <c r="A25" s="2892" t="s">
        <v>2700</v>
      </c>
      <c r="B25" s="2889" t="s">
        <v>945</v>
      </c>
      <c r="C25" s="2891"/>
      <c r="D25" s="1796" t="s">
        <v>2703</v>
      </c>
    </row>
    <row r="29" spans="1:4">
      <c r="D29" s="2890" t="s">
        <v>2034</v>
      </c>
    </row>
    <row r="30" spans="1:4">
      <c r="D30" s="289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865</v>
      </c>
    </row>
    <row r="13" spans="1:7">
      <c r="A13" s="1166" t="s">
        <v>52</v>
      </c>
    </row>
    <row r="15" spans="1:7" ht="14.25">
      <c r="A15" s="3271" t="s">
        <v>53</v>
      </c>
      <c r="B15" s="3272" t="s">
        <v>839</v>
      </c>
      <c r="C15" s="3268"/>
    </row>
    <row r="16" spans="1:7" ht="14.25">
      <c r="A16" s="3271"/>
      <c r="B16" s="3269" t="s">
        <v>54</v>
      </c>
      <c r="C16" s="1167" t="s">
        <v>53</v>
      </c>
    </row>
    <row r="17" spans="1:3" ht="14.25">
      <c r="A17" s="3271"/>
      <c r="B17" s="3269"/>
      <c r="C17" s="1167" t="s">
        <v>55</v>
      </c>
    </row>
    <row r="18" spans="1:3" ht="14.25">
      <c r="A18" s="3271"/>
      <c r="B18" s="3269"/>
      <c r="C18" s="1167" t="s">
        <v>56</v>
      </c>
    </row>
    <row r="19" spans="1:3" ht="14.25">
      <c r="A19" s="3271"/>
      <c r="B19" s="3267" t="s">
        <v>57</v>
      </c>
      <c r="C19" s="3268"/>
    </row>
    <row r="20" spans="1:3" ht="14.25">
      <c r="A20" s="1168" t="s">
        <v>58</v>
      </c>
      <c r="B20" s="1169"/>
      <c r="C20" s="1170"/>
    </row>
    <row r="21" spans="1:3" ht="14.25">
      <c r="A21" s="3270" t="s">
        <v>59</v>
      </c>
      <c r="B21" s="3267" t="s">
        <v>60</v>
      </c>
      <c r="C21" s="3268"/>
    </row>
    <row r="22" spans="1:3" ht="14.25">
      <c r="A22" s="3270"/>
      <c r="B22" s="3267" t="s">
        <v>61</v>
      </c>
      <c r="C22" s="3268"/>
    </row>
    <row r="23" spans="1:3" ht="14.25">
      <c r="A23" s="3270"/>
      <c r="B23" s="3267" t="s">
        <v>62</v>
      </c>
      <c r="C23" s="3268"/>
    </row>
    <row r="24" spans="1:3" ht="14.25">
      <c r="A24" s="3270"/>
      <c r="B24" s="3273" t="s">
        <v>63</v>
      </c>
      <c r="C24" s="1171" t="s">
        <v>830</v>
      </c>
    </row>
    <row r="25" spans="1:3" ht="14.25">
      <c r="A25" s="3270"/>
      <c r="B25" s="3274"/>
      <c r="C25" s="1171" t="s">
        <v>831</v>
      </c>
    </row>
    <row r="26" spans="1:3" ht="14.25">
      <c r="A26" s="3270"/>
      <c r="B26" s="3274"/>
      <c r="C26" s="1171" t="s">
        <v>832</v>
      </c>
    </row>
    <row r="27" spans="1:3" ht="14.25">
      <c r="A27" s="3270"/>
      <c r="B27" s="3274"/>
      <c r="C27" s="1171" t="s">
        <v>833</v>
      </c>
    </row>
    <row r="28" spans="1:3" ht="14.25">
      <c r="A28" s="3270"/>
      <c r="B28" s="3274"/>
      <c r="C28" s="1171" t="s">
        <v>834</v>
      </c>
    </row>
    <row r="29" spans="1:3" ht="14.25">
      <c r="A29" s="3270"/>
      <c r="B29" s="3274"/>
      <c r="C29" s="1171" t="s">
        <v>835</v>
      </c>
    </row>
    <row r="30" spans="1:3" ht="14.25">
      <c r="A30" s="3270"/>
      <c r="B30" s="3274"/>
      <c r="C30" s="1171" t="s">
        <v>836</v>
      </c>
    </row>
    <row r="31" spans="1:3" ht="14.25">
      <c r="A31" s="3270"/>
      <c r="B31" s="3274"/>
      <c r="C31" s="1171" t="s">
        <v>837</v>
      </c>
    </row>
    <row r="32" spans="1:3" ht="14.25">
      <c r="A32" s="3270"/>
      <c r="B32" s="3274"/>
      <c r="C32" s="1171" t="s">
        <v>1640</v>
      </c>
    </row>
    <row r="33" spans="1:3" ht="14.25">
      <c r="A33" s="3270"/>
      <c r="B33" s="3264" t="s">
        <v>1646</v>
      </c>
      <c r="C33" s="1171" t="s">
        <v>1641</v>
      </c>
    </row>
    <row r="34" spans="1:3" ht="14.25">
      <c r="A34" s="3270"/>
      <c r="B34" s="3265"/>
      <c r="C34" s="1176" t="s">
        <v>1642</v>
      </c>
    </row>
    <row r="35" spans="1:3" ht="14.25">
      <c r="A35" s="3270"/>
      <c r="B35" s="3265"/>
      <c r="C35" s="1177" t="s">
        <v>1643</v>
      </c>
    </row>
    <row r="36" spans="1:3" ht="14.25">
      <c r="A36" s="3270"/>
      <c r="B36" s="3265"/>
      <c r="C36" s="1177" t="s">
        <v>1644</v>
      </c>
    </row>
    <row r="37" spans="1:3" ht="14.25">
      <c r="A37" s="3270"/>
      <c r="B37" s="3266"/>
      <c r="C37" s="1178" t="s">
        <v>1645</v>
      </c>
    </row>
    <row r="38" spans="1:3">
      <c r="A38" s="1172" t="s">
        <v>838</v>
      </c>
    </row>
    <row r="41" spans="1:3">
      <c r="A41" s="1172" t="s">
        <v>68</v>
      </c>
    </row>
    <row r="42" spans="1:3" ht="14.25">
      <c r="A42" s="1173" t="s">
        <v>846</v>
      </c>
    </row>
    <row r="43" spans="1:3" ht="14.25">
      <c r="A43" s="1174" t="s">
        <v>69</v>
      </c>
    </row>
    <row r="44" spans="1:3" ht="14.25">
      <c r="A44" s="1173" t="s">
        <v>845</v>
      </c>
    </row>
    <row r="45" spans="1:3" ht="14.25">
      <c r="A45" s="1175" t="s">
        <v>847</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36" customWidth="1"/>
    <col min="2" max="5" width="22.625" style="2336"/>
    <col min="6" max="6" width="25.625" style="2336" customWidth="1"/>
    <col min="7" max="16384" width="22.625" style="2336"/>
  </cols>
  <sheetData>
    <row r="2" spans="1:6" ht="20.25" customHeight="1">
      <c r="A2" s="2333" t="s">
        <v>1901</v>
      </c>
      <c r="B2" s="1652">
        <f ca="1">TODAY()</f>
        <v>43038</v>
      </c>
      <c r="C2" s="2334" t="s">
        <v>1902</v>
      </c>
      <c r="D2" s="2335"/>
    </row>
    <row r="3" spans="1:6" ht="20.25" customHeight="1">
      <c r="A3" s="2337" t="s">
        <v>1903</v>
      </c>
      <c r="B3" s="2338" t="s">
        <v>1904</v>
      </c>
      <c r="C3" s="2338" t="s">
        <v>1905</v>
      </c>
      <c r="D3" s="2339" t="s">
        <v>1906</v>
      </c>
      <c r="E3" s="2338" t="s">
        <v>1907</v>
      </c>
      <c r="F3" s="2338" t="s">
        <v>1905</v>
      </c>
    </row>
    <row r="4" spans="1:6" ht="20.25" customHeight="1">
      <c r="A4" s="2338" t="s">
        <v>1908</v>
      </c>
      <c r="B4" s="2338">
        <f ca="1">IF(C4&lt;B2,"已过期",1119970066)</f>
        <v>1119970066</v>
      </c>
      <c r="C4" s="3027">
        <v>43849</v>
      </c>
      <c r="D4" s="2338" t="s">
        <v>1908</v>
      </c>
      <c r="E4" s="2338">
        <f ca="1">IF(F4&lt;B2,"已过期",96010014)</f>
        <v>96010014</v>
      </c>
      <c r="F4" s="3028">
        <v>47118</v>
      </c>
    </row>
    <row r="5" spans="1:6" ht="20.25" customHeight="1">
      <c r="A5" s="2338" t="s">
        <v>1909</v>
      </c>
      <c r="B5" s="2338">
        <f ca="1">IF(C5&lt;B2,"已过期",1119970074)</f>
        <v>1119970074</v>
      </c>
      <c r="C5" s="3027">
        <v>43849</v>
      </c>
      <c r="D5" s="2338" t="s">
        <v>1909</v>
      </c>
      <c r="E5" s="2338">
        <f ca="1">IF(F5&lt;B2,"已过期",2002110027)</f>
        <v>2002110027</v>
      </c>
      <c r="F5" s="3028">
        <v>46752</v>
      </c>
    </row>
    <row r="6" spans="1:6" ht="20.25" customHeight="1">
      <c r="A6" s="2338" t="s">
        <v>1910</v>
      </c>
      <c r="B6" s="2338">
        <f ca="1">IF(C6&lt;B2,"已过期",1119970111)</f>
        <v>1119970111</v>
      </c>
      <c r="C6" s="3027">
        <v>43849</v>
      </c>
      <c r="D6" s="2338" t="s">
        <v>1910</v>
      </c>
      <c r="E6" s="2338">
        <f ca="1">IF(F6&lt;B2,"已过期",94010078)</f>
        <v>94010078</v>
      </c>
      <c r="F6" s="3028">
        <v>46387</v>
      </c>
    </row>
    <row r="7" spans="1:6" ht="20.25" customHeight="1">
      <c r="A7" s="2338" t="s">
        <v>1911</v>
      </c>
      <c r="B7" s="2338">
        <f ca="1">IF(C7&lt;B2,"已过期",1120050019)</f>
        <v>1120050019</v>
      </c>
      <c r="C7" s="3027">
        <v>43359</v>
      </c>
      <c r="D7" s="2338" t="s">
        <v>1911</v>
      </c>
      <c r="E7" s="2338">
        <f ca="1">IF(F7&lt;B2,"已过期",2002110030)</f>
        <v>2002110030</v>
      </c>
      <c r="F7" s="3028">
        <v>46387</v>
      </c>
    </row>
    <row r="8" spans="1:6" ht="20.25" customHeight="1">
      <c r="A8" s="2338" t="s">
        <v>1912</v>
      </c>
      <c r="B8" s="2338">
        <f ca="1">IF(C8&lt;B2,"已过期",1120000080)</f>
        <v>1120000080</v>
      </c>
      <c r="C8" s="3027">
        <v>43849</v>
      </c>
      <c r="D8" s="2338" t="s">
        <v>1912</v>
      </c>
      <c r="E8" s="2338">
        <f ca="1">IF(F8&lt;B2,"已过期",2000110082)</f>
        <v>2000110082</v>
      </c>
      <c r="F8" s="3028">
        <v>46387</v>
      </c>
    </row>
    <row r="9" spans="1:6" ht="20.25" customHeight="1">
      <c r="A9" s="2338" t="s">
        <v>1913</v>
      </c>
      <c r="B9" s="2338">
        <f ca="1">IF(C9&lt;B2,"已过期",1419970001)</f>
        <v>1419970001</v>
      </c>
      <c r="C9" s="3027">
        <v>43867</v>
      </c>
      <c r="D9" s="2338" t="s">
        <v>1913</v>
      </c>
      <c r="E9" s="2338">
        <f ca="1">IF(F9&lt;B2,"已过期",2002110125)</f>
        <v>2002110125</v>
      </c>
      <c r="F9" s="3028">
        <v>47118</v>
      </c>
    </row>
    <row r="10" spans="1:6" ht="20.25" customHeight="1">
      <c r="A10" s="2338" t="s">
        <v>1914</v>
      </c>
      <c r="B10" s="2338">
        <f ca="1">IF(C10&lt;B2,"已过期",1120060040)</f>
        <v>1120060040</v>
      </c>
      <c r="C10" s="3027">
        <v>43483</v>
      </c>
      <c r="D10" s="2338" t="s">
        <v>1914</v>
      </c>
      <c r="E10" s="2338">
        <f ca="1">IF(F10&lt;B2,"已过期",2004110096)</f>
        <v>2004110096</v>
      </c>
      <c r="F10" s="3028">
        <v>47118</v>
      </c>
    </row>
    <row r="11" spans="1:6" ht="20.25" customHeight="1">
      <c r="A11" s="2338" t="s">
        <v>1915</v>
      </c>
      <c r="B11" s="2338">
        <f ca="1">IF(C11&lt;B2,"已过期",1120100036)</f>
        <v>1120100036</v>
      </c>
      <c r="C11" s="3027">
        <v>43622</v>
      </c>
      <c r="D11" s="2338" t="s">
        <v>1915</v>
      </c>
      <c r="E11" s="2338">
        <f ca="1">IF(F11&lt;B2,"已过期",2010110070)</f>
        <v>2010110070</v>
      </c>
      <c r="F11" s="3028">
        <v>47907</v>
      </c>
    </row>
    <row r="12" spans="1:6" ht="20.25" customHeight="1">
      <c r="A12" s="2338"/>
      <c r="B12" s="2338"/>
      <c r="C12" s="3027"/>
      <c r="D12" s="2338"/>
      <c r="E12" s="2338"/>
      <c r="F12" s="2338"/>
    </row>
    <row r="13" spans="1:6" ht="20.25" customHeight="1">
      <c r="A13" s="2338" t="s">
        <v>1916</v>
      </c>
      <c r="B13" s="2338">
        <f ca="1">IF(C13&lt;B2,"已过期",1120070131)</f>
        <v>1120070131</v>
      </c>
      <c r="C13" s="3027">
        <v>43814</v>
      </c>
      <c r="D13" s="2338" t="s">
        <v>1916</v>
      </c>
      <c r="E13" s="2338">
        <v>2014110011</v>
      </c>
      <c r="F13" s="3028">
        <v>49302</v>
      </c>
    </row>
    <row r="14" spans="1:6" ht="20.25" customHeight="1">
      <c r="A14" s="2338" t="s">
        <v>1917</v>
      </c>
      <c r="B14" s="2338">
        <f ca="1">IF(C14&lt;B2,"已过期",1120130020)</f>
        <v>1120130020</v>
      </c>
      <c r="C14" s="3027">
        <v>43622</v>
      </c>
      <c r="D14" s="2338"/>
      <c r="E14" s="2338"/>
      <c r="F14" s="2338"/>
    </row>
    <row r="15" spans="1:6" ht="20.25" customHeight="1">
      <c r="A15" s="2338" t="s">
        <v>2571</v>
      </c>
      <c r="B15" s="2338">
        <v>1120070085</v>
      </c>
      <c r="C15" s="3027">
        <v>43814</v>
      </c>
      <c r="D15" s="2338" t="s">
        <v>2571</v>
      </c>
      <c r="E15" s="2338">
        <v>2004110128</v>
      </c>
      <c r="F15" s="3028">
        <v>47118</v>
      </c>
    </row>
    <row r="16" spans="1:6" ht="20.25" customHeight="1">
      <c r="A16" s="2338" t="s">
        <v>1918</v>
      </c>
      <c r="B16" s="2338">
        <f ca="1">IF(C16&lt;B2,"已过期",1120140022)</f>
        <v>1120140022</v>
      </c>
      <c r="C16" s="3027">
        <v>44029</v>
      </c>
      <c r="D16" s="2338" t="s">
        <v>1918</v>
      </c>
      <c r="E16" s="2338">
        <f ca="1">IF(F16&lt;B2,"已过期",2008110059)</f>
        <v>2008110059</v>
      </c>
      <c r="F16" s="3028">
        <v>47177</v>
      </c>
    </row>
    <row r="17" spans="1:7" ht="20.25" customHeight="1">
      <c r="A17" s="2338"/>
      <c r="B17" s="2338"/>
      <c r="C17" s="3027"/>
      <c r="D17" s="2338"/>
      <c r="E17" s="2338"/>
      <c r="F17" s="3028"/>
    </row>
    <row r="18" spans="1:7" ht="20.25" customHeight="1">
      <c r="A18" s="2338"/>
      <c r="B18" s="2338"/>
      <c r="C18" s="3027"/>
      <c r="D18" s="2338"/>
      <c r="E18" s="2338"/>
      <c r="F18" s="3028"/>
    </row>
    <row r="19" spans="1:7" ht="20.25" customHeight="1">
      <c r="A19" s="2338"/>
      <c r="B19" s="2338"/>
      <c r="C19" s="3027"/>
      <c r="D19" s="2338"/>
      <c r="E19" s="2338"/>
      <c r="F19" s="2338"/>
    </row>
    <row r="20" spans="1:7" ht="20.25" customHeight="1">
      <c r="A20" s="2338"/>
      <c r="B20" s="2338"/>
      <c r="C20" s="3027"/>
      <c r="D20" s="2338"/>
      <c r="E20" s="2338"/>
      <c r="F20" s="2338"/>
    </row>
    <row r="21" spans="1:7" ht="20.25" customHeight="1">
      <c r="A21" s="2338"/>
      <c r="B21" s="2338"/>
      <c r="C21" s="3027"/>
      <c r="D21" s="2338" t="s">
        <v>1919</v>
      </c>
      <c r="E21" s="2338">
        <f ca="1">IF(F21&lt;B2,"已过期",2011110090)</f>
        <v>2011110090</v>
      </c>
      <c r="F21" s="3028">
        <v>48302</v>
      </c>
    </row>
    <row r="22" spans="1:7" ht="20.25" customHeight="1">
      <c r="A22" s="2338" t="s">
        <v>1920</v>
      </c>
      <c r="B22" s="2338">
        <f ca="1">IF(C22&lt;B2,"已过期",1120020033)</f>
        <v>1120020033</v>
      </c>
      <c r="C22" s="3027">
        <v>43304</v>
      </c>
      <c r="D22" s="2338" t="s">
        <v>1920</v>
      </c>
      <c r="E22" s="2338">
        <f ca="1">IF(F22&lt;B2,"已过期",2000110137)</f>
        <v>2000110137</v>
      </c>
      <c r="F22" s="3028">
        <v>46387</v>
      </c>
    </row>
    <row r="23" spans="1:7" ht="20.25" customHeight="1">
      <c r="A23" s="2338" t="s">
        <v>1921</v>
      </c>
      <c r="B23" s="2338">
        <f ca="1">IF(C23&lt;B2,"已过期",1120130048)</f>
        <v>1120130048</v>
      </c>
      <c r="C23" s="3027">
        <v>43686</v>
      </c>
      <c r="D23" s="2338"/>
      <c r="E23" s="2338"/>
      <c r="F23" s="2338"/>
    </row>
    <row r="24" spans="1:7" s="2342" customFormat="1" ht="20.25" customHeight="1">
      <c r="A24" s="2340" t="s">
        <v>2048</v>
      </c>
      <c r="B24" s="2340" t="s">
        <v>2048</v>
      </c>
      <c r="C24" s="3027"/>
      <c r="D24" s="3029" t="s">
        <v>2048</v>
      </c>
      <c r="E24" s="2340" t="s">
        <v>2048</v>
      </c>
      <c r="F24" s="2341"/>
    </row>
    <row r="25" spans="1:7" ht="20.25" customHeight="1">
      <c r="A25" s="3275" t="s">
        <v>1922</v>
      </c>
      <c r="B25" s="3275"/>
      <c r="C25" s="3275"/>
      <c r="D25" s="3275"/>
      <c r="E25" s="3275"/>
      <c r="F25" s="3275"/>
      <c r="G25" s="3275"/>
    </row>
    <row r="26" spans="1:7" ht="20.25" customHeight="1">
      <c r="A26" s="3276" t="s">
        <v>1923</v>
      </c>
      <c r="B26" s="3276"/>
      <c r="C26" s="3276"/>
      <c r="D26" s="3276" t="s">
        <v>1924</v>
      </c>
      <c r="E26" s="3276"/>
      <c r="F26" s="3276"/>
    </row>
    <row r="27" spans="1:7" s="2346" customFormat="1" ht="20.25" customHeight="1">
      <c r="A27" s="2343" t="s">
        <v>1925</v>
      </c>
      <c r="B27" s="2344" t="s">
        <v>1926</v>
      </c>
      <c r="C27" s="2344" t="s">
        <v>1927</v>
      </c>
      <c r="D27" s="2345" t="s">
        <v>1925</v>
      </c>
      <c r="E27" s="2344" t="s">
        <v>1926</v>
      </c>
      <c r="F27" s="2344" t="s">
        <v>1927</v>
      </c>
    </row>
    <row r="28" spans="1:7" s="2346" customFormat="1" ht="20.25" customHeight="1">
      <c r="A28" s="2347" t="s">
        <v>1928</v>
      </c>
      <c r="B28" s="2347" t="s">
        <v>1929</v>
      </c>
      <c r="C28" s="2348">
        <v>43725</v>
      </c>
      <c r="D28" s="2347" t="s">
        <v>1930</v>
      </c>
      <c r="E28" s="2347" t="s">
        <v>1931</v>
      </c>
      <c r="F28" s="2349">
        <v>44377</v>
      </c>
    </row>
    <row r="29" spans="1:7" s="2346" customFormat="1" ht="20.25" customHeight="1">
      <c r="A29" s="2347"/>
      <c r="B29" s="2347"/>
      <c r="C29" s="2350"/>
      <c r="D29" s="2347" t="s">
        <v>1932</v>
      </c>
      <c r="E29" s="2351" t="s">
        <v>2939</v>
      </c>
      <c r="F29" s="2352">
        <v>43281</v>
      </c>
    </row>
    <row r="30" spans="1:7" ht="20.25" customHeight="1">
      <c r="C30" s="2353"/>
      <c r="D30" s="2353"/>
    </row>
  </sheetData>
  <sheetProtection sheet="1" objects="1" scenarios="1"/>
  <mergeCells count="3">
    <mergeCell ref="A25:G25"/>
    <mergeCell ref="A26:C26"/>
    <mergeCell ref="D26:F26"/>
  </mergeCells>
  <phoneticPr fontId="3" type="noConversion"/>
  <conditionalFormatting sqref="C24:D24">
    <cfRule type="expression" dxfId="229" priority="71">
      <formula>AND($C24-TODAY()&lt;30,TODAY()&lt;$C24)</formula>
    </cfRule>
  </conditionalFormatting>
  <conditionalFormatting sqref="C28">
    <cfRule type="expression" dxfId="228" priority="70">
      <formula>AND($C28-TODAY()&lt;30,TODAY()&lt;$C28)</formula>
    </cfRule>
  </conditionalFormatting>
  <conditionalFormatting sqref="C28 F4">
    <cfRule type="cellIs" dxfId="227" priority="72" stopIfTrue="1" operator="lessThan">
      <formula>$B$2</formula>
    </cfRule>
  </conditionalFormatting>
  <conditionalFormatting sqref="F5">
    <cfRule type="cellIs" dxfId="226" priority="68" stopIfTrue="1" operator="lessThan">
      <formula>$B$2</formula>
    </cfRule>
  </conditionalFormatting>
  <conditionalFormatting sqref="F6 F8 F10">
    <cfRule type="cellIs" dxfId="225" priority="66" stopIfTrue="1" operator="lessThan">
      <formula>$B$2</formula>
    </cfRule>
  </conditionalFormatting>
  <conditionalFormatting sqref="C24:D24">
    <cfRule type="expression" dxfId="224" priority="64">
      <formula>AND($C24-TODAY()&lt;30,TODAY()&lt;$C24)</formula>
    </cfRule>
  </conditionalFormatting>
  <conditionalFormatting sqref="F7 F9 F11 C24:D24">
    <cfRule type="cellIs" dxfId="223" priority="65" stopIfTrue="1" operator="lessThan">
      <formula>$B$2</formula>
    </cfRule>
  </conditionalFormatting>
  <conditionalFormatting sqref="F16">
    <cfRule type="cellIs" dxfId="222" priority="38" stopIfTrue="1" operator="lessThan">
      <formula>$B$2</formula>
    </cfRule>
  </conditionalFormatting>
  <conditionalFormatting sqref="F18">
    <cfRule type="cellIs" dxfId="221" priority="37" stopIfTrue="1" operator="lessThan">
      <formula>$B$2</formula>
    </cfRule>
  </conditionalFormatting>
  <conditionalFormatting sqref="F22">
    <cfRule type="cellIs" dxfId="220" priority="36" stopIfTrue="1" operator="lessThan">
      <formula>$B$2</formula>
    </cfRule>
  </conditionalFormatting>
  <conditionalFormatting sqref="F21">
    <cfRule type="cellIs" dxfId="219" priority="35" stopIfTrue="1" operator="lessThan">
      <formula>$B$2</formula>
    </cfRule>
  </conditionalFormatting>
  <conditionalFormatting sqref="F17">
    <cfRule type="cellIs" dxfId="218" priority="34" stopIfTrue="1" operator="lessThan">
      <formula>$B$2</formula>
    </cfRule>
  </conditionalFormatting>
  <conditionalFormatting sqref="B4:B14 E4:E14 E16:E23 B16:B23">
    <cfRule type="cellIs" dxfId="217" priority="33" stopIfTrue="1" operator="equal">
      <formula>"已过期"</formula>
    </cfRule>
  </conditionalFormatting>
  <conditionalFormatting sqref="F28">
    <cfRule type="cellIs" dxfId="216" priority="30" stopIfTrue="1" operator="lessThan">
      <formula>$B$2</formula>
    </cfRule>
  </conditionalFormatting>
  <conditionalFormatting sqref="F29">
    <cfRule type="cellIs" dxfId="215" priority="28" stopIfTrue="1" operator="lessThan">
      <formula>$B$2</formula>
    </cfRule>
  </conditionalFormatting>
  <conditionalFormatting sqref="F28">
    <cfRule type="expression" dxfId="214" priority="74">
      <formula>AND($E28-TODAY()&lt;30,TODAY()&lt;$E28)</formula>
    </cfRule>
  </conditionalFormatting>
  <conditionalFormatting sqref="F29">
    <cfRule type="expression" dxfId="213" priority="75" stopIfTrue="1">
      <formula>AND($E29-TODAY()&lt;30,TODAY()&lt;$E29)</formula>
    </cfRule>
  </conditionalFormatting>
  <conditionalFormatting sqref="C5">
    <cfRule type="expression" dxfId="212" priority="25">
      <formula>AND($C5-TODAY()&lt;30,TODAY()&lt;$C5)</formula>
    </cfRule>
  </conditionalFormatting>
  <conditionalFormatting sqref="C5">
    <cfRule type="cellIs" dxfId="211" priority="26" stopIfTrue="1" operator="lessThan">
      <formula>$B$2</formula>
    </cfRule>
  </conditionalFormatting>
  <conditionalFormatting sqref="C4:C6">
    <cfRule type="expression" dxfId="210" priority="23">
      <formula>AND($C4-TODAY()&lt;30,TODAY()&lt;$C4)</formula>
    </cfRule>
  </conditionalFormatting>
  <conditionalFormatting sqref="C4:C6">
    <cfRule type="cellIs" dxfId="209" priority="24" stopIfTrue="1" operator="lessThan">
      <formula>$B$2</formula>
    </cfRule>
  </conditionalFormatting>
  <conditionalFormatting sqref="C8:C9">
    <cfRule type="expression" dxfId="208" priority="21">
      <formula>AND($C8-TODAY()&lt;30,TODAY()&lt;$C8)</formula>
    </cfRule>
  </conditionalFormatting>
  <conditionalFormatting sqref="C8:C9">
    <cfRule type="cellIs" dxfId="207" priority="22" stopIfTrue="1" operator="lessThan">
      <formula>$B$2</formula>
    </cfRule>
  </conditionalFormatting>
  <conditionalFormatting sqref="B15 E15">
    <cfRule type="cellIs" dxfId="206" priority="9" stopIfTrue="1" operator="equal">
      <formula>"已过期"</formula>
    </cfRule>
  </conditionalFormatting>
  <conditionalFormatting sqref="F15">
    <cfRule type="cellIs" dxfId="205" priority="6" stopIfTrue="1" operator="lessThan">
      <formula>$B$2</formula>
    </cfRule>
  </conditionalFormatting>
  <conditionalFormatting sqref="C7">
    <cfRule type="expression" dxfId="204" priority="4">
      <formula>AND($C7-TODAY()&lt;30,TODAY()&lt;$C7)</formula>
    </cfRule>
  </conditionalFormatting>
  <conditionalFormatting sqref="C7">
    <cfRule type="cellIs" dxfId="203" priority="5" stopIfTrue="1" operator="lessThan">
      <formula>$B$2</formula>
    </cfRule>
  </conditionalFormatting>
  <conditionalFormatting sqref="C10:C23">
    <cfRule type="expression" dxfId="202" priority="2">
      <formula>AND($C10-TODAY()&lt;30,TODAY()&lt;$C10)</formula>
    </cfRule>
  </conditionalFormatting>
  <conditionalFormatting sqref="C10:C23">
    <cfRule type="cellIs" dxfId="201" priority="3" stopIfTrue="1" operator="lessThan">
      <formula>$B$2</formula>
    </cfRule>
  </conditionalFormatting>
  <conditionalFormatting sqref="F13">
    <cfRule type="cellIs" dxfId="200"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13" sqref="Z13"/>
    </sheetView>
  </sheetViews>
  <sheetFormatPr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2" t="s">
        <v>849</v>
      </c>
      <c r="B1" s="5" t="s">
        <v>130</v>
      </c>
      <c r="C1" s="1545" t="s">
        <v>1702</v>
      </c>
      <c r="D1" s="6" t="s">
        <v>131</v>
      </c>
      <c r="E1" s="6" t="s">
        <v>132</v>
      </c>
      <c r="F1" s="6" t="s">
        <v>133</v>
      </c>
      <c r="G1" s="6" t="s">
        <v>134</v>
      </c>
      <c r="H1" s="6" t="s">
        <v>135</v>
      </c>
      <c r="I1" s="6" t="s">
        <v>136</v>
      </c>
      <c r="J1" s="6" t="s">
        <v>137</v>
      </c>
      <c r="K1" s="6" t="s">
        <v>138</v>
      </c>
      <c r="L1" s="6" t="s">
        <v>139</v>
      </c>
      <c r="M1" s="6" t="s">
        <v>140</v>
      </c>
      <c r="N1" s="6" t="s">
        <v>141</v>
      </c>
      <c r="O1" s="6" t="s">
        <v>142</v>
      </c>
      <c r="P1" s="6" t="s">
        <v>143</v>
      </c>
      <c r="Q1" s="2602" t="s">
        <v>2542</v>
      </c>
      <c r="R1" s="2601" t="s">
        <v>2536</v>
      </c>
      <c r="S1" s="6" t="s">
        <v>144</v>
      </c>
      <c r="T1" s="7" t="s">
        <v>145</v>
      </c>
      <c r="U1" s="6" t="s">
        <v>146</v>
      </c>
      <c r="V1" s="6" t="s">
        <v>147</v>
      </c>
      <c r="W1" s="999" t="s">
        <v>867</v>
      </c>
    </row>
    <row r="2" spans="1:23">
      <c r="A2" s="8" t="s">
        <v>73</v>
      </c>
      <c r="B2" s="8" t="s">
        <v>148</v>
      </c>
      <c r="C2" s="1546" t="s">
        <v>1703</v>
      </c>
      <c r="D2" s="9" t="s">
        <v>74</v>
      </c>
      <c r="E2" s="9" t="s">
        <v>125</v>
      </c>
      <c r="F2" s="9" t="s">
        <v>126</v>
      </c>
      <c r="G2" s="9">
        <v>40</v>
      </c>
      <c r="H2" s="9" t="s">
        <v>127</v>
      </c>
      <c r="I2" s="9" t="s">
        <v>128</v>
      </c>
      <c r="J2" s="9" t="s">
        <v>129</v>
      </c>
      <c r="K2" s="9" t="s">
        <v>75</v>
      </c>
      <c r="L2" s="9" t="s">
        <v>75</v>
      </c>
      <c r="M2" s="9" t="s">
        <v>75</v>
      </c>
      <c r="N2" s="9" t="s">
        <v>75</v>
      </c>
      <c r="O2" s="9" t="s">
        <v>75</v>
      </c>
      <c r="P2" s="1001" t="s">
        <v>873</v>
      </c>
      <c r="Q2" s="9" t="s">
        <v>75</v>
      </c>
      <c r="R2" s="1001" t="s">
        <v>2537</v>
      </c>
      <c r="S2" s="9" t="s">
        <v>75</v>
      </c>
      <c r="T2" s="9" t="s">
        <v>76</v>
      </c>
      <c r="U2" s="9" t="s">
        <v>75</v>
      </c>
      <c r="V2" s="9" t="s">
        <v>77</v>
      </c>
      <c r="W2" s="9" t="s">
        <v>868</v>
      </c>
    </row>
    <row r="3" spans="1:23">
      <c r="A3" s="8" t="s">
        <v>78</v>
      </c>
      <c r="B3" s="10" t="s">
        <v>149</v>
      </c>
      <c r="C3" s="1547" t="s">
        <v>1704</v>
      </c>
      <c r="D3" s="9" t="s">
        <v>79</v>
      </c>
      <c r="E3" s="9" t="s">
        <v>6</v>
      </c>
      <c r="F3" s="9" t="s">
        <v>80</v>
      </c>
      <c r="G3" s="9">
        <v>50</v>
      </c>
      <c r="H3" s="9" t="s">
        <v>81</v>
      </c>
      <c r="I3" s="9" t="s">
        <v>82</v>
      </c>
      <c r="J3" s="9" t="s">
        <v>83</v>
      </c>
      <c r="K3" s="9" t="s">
        <v>84</v>
      </c>
      <c r="L3" s="9" t="s">
        <v>84</v>
      </c>
      <c r="M3" s="9" t="s">
        <v>84</v>
      </c>
      <c r="N3" s="9" t="s">
        <v>84</v>
      </c>
      <c r="O3" s="9" t="s">
        <v>84</v>
      </c>
      <c r="P3" s="1001" t="s">
        <v>594</v>
      </c>
      <c r="Q3" s="9" t="s">
        <v>84</v>
      </c>
      <c r="R3" s="1001" t="s">
        <v>2538</v>
      </c>
      <c r="S3" s="9" t="s">
        <v>84</v>
      </c>
      <c r="T3" s="9" t="s">
        <v>85</v>
      </c>
      <c r="U3" s="9" t="s">
        <v>84</v>
      </c>
      <c r="V3" s="9" t="s">
        <v>86</v>
      </c>
      <c r="W3" s="9" t="s">
        <v>869</v>
      </c>
    </row>
    <row r="4" spans="1:23">
      <c r="A4" s="1144" t="s">
        <v>3188</v>
      </c>
      <c r="B4" s="8" t="s">
        <v>150</v>
      </c>
      <c r="C4" s="1546" t="s">
        <v>1705</v>
      </c>
      <c r="D4" s="9" t="s">
        <v>1989</v>
      </c>
      <c r="E4" s="9" t="s">
        <v>87</v>
      </c>
      <c r="F4" s="9" t="s">
        <v>88</v>
      </c>
      <c r="G4" s="9">
        <v>70</v>
      </c>
      <c r="H4" s="9" t="s">
        <v>89</v>
      </c>
      <c r="I4" s="9" t="s">
        <v>90</v>
      </c>
      <c r="K4" s="9" t="s">
        <v>91</v>
      </c>
      <c r="L4" s="9" t="s">
        <v>91</v>
      </c>
      <c r="M4" s="9" t="s">
        <v>91</v>
      </c>
      <c r="N4" s="9" t="s">
        <v>91</v>
      </c>
      <c r="O4" s="9" t="s">
        <v>91</v>
      </c>
      <c r="P4" s="1001" t="s">
        <v>753</v>
      </c>
      <c r="Q4" s="9" t="s">
        <v>91</v>
      </c>
      <c r="R4" s="1001" t="s">
        <v>2539</v>
      </c>
      <c r="S4" s="9" t="s">
        <v>91</v>
      </c>
      <c r="T4" s="9" t="s">
        <v>92</v>
      </c>
      <c r="U4" s="9" t="s">
        <v>91</v>
      </c>
      <c r="W4" s="9" t="s">
        <v>870</v>
      </c>
    </row>
    <row r="5" spans="1:23">
      <c r="A5" s="8" t="s">
        <v>93</v>
      </c>
      <c r="B5" s="8" t="s">
        <v>151</v>
      </c>
      <c r="C5" s="1546" t="s">
        <v>1706</v>
      </c>
      <c r="F5" s="9" t="s">
        <v>94</v>
      </c>
      <c r="H5" s="9" t="s">
        <v>70</v>
      </c>
      <c r="I5" s="9" t="s">
        <v>95</v>
      </c>
      <c r="K5" s="9" t="s">
        <v>96</v>
      </c>
      <c r="L5" s="9" t="s">
        <v>96</v>
      </c>
      <c r="M5" s="9" t="s">
        <v>96</v>
      </c>
      <c r="N5" s="9" t="s">
        <v>96</v>
      </c>
      <c r="O5" s="9" t="s">
        <v>96</v>
      </c>
      <c r="P5" s="1001" t="s">
        <v>540</v>
      </c>
      <c r="Q5" s="9" t="s">
        <v>96</v>
      </c>
      <c r="R5" s="1001" t="s">
        <v>2540</v>
      </c>
      <c r="S5" s="9" t="s">
        <v>96</v>
      </c>
      <c r="T5" s="9" t="s">
        <v>97</v>
      </c>
      <c r="U5" s="9" t="s">
        <v>96</v>
      </c>
      <c r="W5" s="9" t="s">
        <v>871</v>
      </c>
    </row>
    <row r="6" spans="1:23">
      <c r="A6" s="8" t="s">
        <v>98</v>
      </c>
      <c r="B6" s="1144" t="s">
        <v>1634</v>
      </c>
      <c r="C6" s="1548" t="s">
        <v>1707</v>
      </c>
      <c r="F6" s="9" t="s">
        <v>71</v>
      </c>
      <c r="H6" s="9" t="s">
        <v>72</v>
      </c>
      <c r="I6" s="9" t="s">
        <v>99</v>
      </c>
      <c r="K6" s="9" t="s">
        <v>100</v>
      </c>
      <c r="L6" s="9" t="s">
        <v>100</v>
      </c>
      <c r="M6" s="9" t="s">
        <v>100</v>
      </c>
      <c r="N6" s="9" t="s">
        <v>100</v>
      </c>
      <c r="O6" s="9" t="s">
        <v>100</v>
      </c>
      <c r="P6" s="1001" t="s">
        <v>874</v>
      </c>
      <c r="Q6" s="9" t="s">
        <v>100</v>
      </c>
      <c r="R6" s="1001" t="s">
        <v>2541</v>
      </c>
      <c r="S6" s="9" t="s">
        <v>100</v>
      </c>
      <c r="T6" s="9"/>
      <c r="U6" s="9" t="s">
        <v>100</v>
      </c>
      <c r="W6" s="9" t="s">
        <v>872</v>
      </c>
    </row>
    <row r="7" spans="1:23">
      <c r="A7" s="8" t="s">
        <v>101</v>
      </c>
      <c r="B7" s="8" t="s">
        <v>102</v>
      </c>
      <c r="C7" s="1546" t="s">
        <v>1708</v>
      </c>
      <c r="F7" s="9" t="s">
        <v>152</v>
      </c>
      <c r="H7" s="9" t="s">
        <v>103</v>
      </c>
      <c r="I7" s="9" t="s">
        <v>104</v>
      </c>
    </row>
    <row r="8" spans="1:23">
      <c r="A8" s="8" t="s">
        <v>105</v>
      </c>
      <c r="B8" s="8" t="s">
        <v>106</v>
      </c>
      <c r="C8" s="1546" t="s">
        <v>1709</v>
      </c>
      <c r="F8" s="9" t="s">
        <v>153</v>
      </c>
      <c r="H8" s="9"/>
      <c r="I8" s="9" t="s">
        <v>107</v>
      </c>
    </row>
    <row r="9" spans="1:23">
      <c r="A9" s="8" t="s">
        <v>108</v>
      </c>
      <c r="B9" s="8" t="s">
        <v>154</v>
      </c>
      <c r="C9" s="1546" t="s">
        <v>1710</v>
      </c>
      <c r="F9" s="9" t="s">
        <v>109</v>
      </c>
      <c r="H9" s="9"/>
    </row>
    <row r="10" spans="1:23">
      <c r="A10" s="1144" t="s">
        <v>3074</v>
      </c>
      <c r="B10" s="3133" t="s">
        <v>3213</v>
      </c>
      <c r="C10" s="1546" t="s">
        <v>1711</v>
      </c>
      <c r="F10" s="9" t="s">
        <v>6</v>
      </c>
    </row>
    <row r="11" spans="1:23">
      <c r="A11" s="8" t="s">
        <v>110</v>
      </c>
      <c r="B11" s="3133" t="s">
        <v>3217</v>
      </c>
      <c r="C11" s="1546" t="s">
        <v>1712</v>
      </c>
    </row>
    <row r="12" spans="1:23">
      <c r="A12" s="8" t="s">
        <v>111</v>
      </c>
      <c r="B12" s="3133" t="s">
        <v>3215</v>
      </c>
      <c r="C12" s="1546" t="s">
        <v>1713</v>
      </c>
    </row>
    <row r="13" spans="1:23">
      <c r="A13" s="8" t="s">
        <v>112</v>
      </c>
      <c r="B13" s="3133" t="s">
        <v>3221</v>
      </c>
      <c r="C13" s="1546" t="s">
        <v>1714</v>
      </c>
    </row>
    <row r="14" spans="1:23">
      <c r="A14" s="8" t="s">
        <v>113</v>
      </c>
      <c r="B14" s="3133" t="s">
        <v>3220</v>
      </c>
      <c r="C14" s="1549" t="s">
        <v>1890</v>
      </c>
    </row>
    <row r="15" spans="1:23">
      <c r="A15" s="8" t="s">
        <v>114</v>
      </c>
      <c r="B15" s="8" t="s">
        <v>1675</v>
      </c>
      <c r="C15" s="1549"/>
    </row>
    <row r="16" spans="1:23">
      <c r="A16" s="8" t="s">
        <v>115</v>
      </c>
      <c r="B16" s="8" t="s">
        <v>1676</v>
      </c>
      <c r="C16" s="1549"/>
    </row>
    <row r="17" spans="1:3">
      <c r="A17" s="8" t="s">
        <v>116</v>
      </c>
      <c r="B17" s="8" t="s">
        <v>1677</v>
      </c>
      <c r="C17" s="1549"/>
    </row>
    <row r="18" spans="1:3">
      <c r="A18" s="8" t="s">
        <v>117</v>
      </c>
      <c r="B18" s="3133" t="s">
        <v>2952</v>
      </c>
      <c r="C18" s="1549"/>
    </row>
    <row r="19" spans="1:3">
      <c r="A19" s="8" t="s">
        <v>118</v>
      </c>
      <c r="B19" s="3133" t="s">
        <v>2960</v>
      </c>
      <c r="C19" s="1549"/>
    </row>
    <row r="20" spans="1:3">
      <c r="A20" s="8" t="s">
        <v>119</v>
      </c>
      <c r="B20" s="8" t="s">
        <v>3079</v>
      </c>
      <c r="C20" s="1549"/>
    </row>
    <row r="21" spans="1:3">
      <c r="A21" s="8" t="s">
        <v>120</v>
      </c>
      <c r="B21" s="8" t="s">
        <v>1635</v>
      </c>
      <c r="C21" s="1549"/>
    </row>
    <row r="22" spans="1:3">
      <c r="A22" s="8" t="s">
        <v>121</v>
      </c>
      <c r="B22" s="8" t="s">
        <v>1635</v>
      </c>
      <c r="C22" s="1549"/>
    </row>
    <row r="23" spans="1:3">
      <c r="A23" s="8" t="s">
        <v>122</v>
      </c>
      <c r="B23" s="8" t="s">
        <v>1635</v>
      </c>
      <c r="C23" s="1549"/>
    </row>
    <row r="24" spans="1:3">
      <c r="A24" s="8" t="s">
        <v>12</v>
      </c>
      <c r="B24" s="8" t="s">
        <v>1635</v>
      </c>
      <c r="C24" s="1549"/>
    </row>
    <row r="25" spans="1:3">
      <c r="A25" s="8" t="s">
        <v>123</v>
      </c>
      <c r="B25" s="8" t="s">
        <v>1635</v>
      </c>
      <c r="C25" s="1549"/>
    </row>
    <row r="26" spans="1:3">
      <c r="A26" s="8" t="s">
        <v>124</v>
      </c>
      <c r="B26" s="8" t="s">
        <v>1635</v>
      </c>
      <c r="C26" s="1549"/>
    </row>
    <row r="27" spans="1:3">
      <c r="A27" s="8" t="s">
        <v>1635</v>
      </c>
      <c r="B27" s="8" t="s">
        <v>1635</v>
      </c>
      <c r="C27" s="1549"/>
    </row>
    <row r="28" spans="1:3">
      <c r="A28" s="8" t="s">
        <v>1635</v>
      </c>
      <c r="B28" s="8" t="s">
        <v>1635</v>
      </c>
      <c r="C28" s="1549"/>
    </row>
    <row r="29" spans="1:3">
      <c r="A29" s="8" t="s">
        <v>1635</v>
      </c>
      <c r="B29" s="8" t="s">
        <v>1635</v>
      </c>
      <c r="C29" s="1549"/>
    </row>
    <row r="30" spans="1:3">
      <c r="A30" s="8" t="s">
        <v>1635</v>
      </c>
      <c r="B30" s="8" t="s">
        <v>1635</v>
      </c>
      <c r="C30" s="1549"/>
    </row>
    <row r="31" spans="1:3">
      <c r="A31" s="8" t="s">
        <v>1635</v>
      </c>
      <c r="B31" s="8" t="s">
        <v>1635</v>
      </c>
      <c r="C31" s="1549"/>
    </row>
    <row r="32" spans="1:3">
      <c r="A32" s="8" t="s">
        <v>1635</v>
      </c>
      <c r="B32" s="8" t="s">
        <v>1635</v>
      </c>
      <c r="C32" s="1549"/>
    </row>
    <row r="33" spans="1:3">
      <c r="A33" s="8" t="s">
        <v>1635</v>
      </c>
      <c r="B33" s="8" t="s">
        <v>1635</v>
      </c>
      <c r="C33" s="1549"/>
    </row>
    <row r="34" spans="1:3">
      <c r="A34" s="8" t="s">
        <v>1635</v>
      </c>
      <c r="B34" s="8" t="s">
        <v>1635</v>
      </c>
      <c r="C34" s="1549"/>
    </row>
    <row r="35" spans="1:3">
      <c r="A35" s="8" t="s">
        <v>1635</v>
      </c>
      <c r="B35" s="8" t="s">
        <v>1635</v>
      </c>
      <c r="C35" s="1549"/>
    </row>
    <row r="36" spans="1:3">
      <c r="A36" s="8" t="s">
        <v>1635</v>
      </c>
      <c r="B36" s="8" t="s">
        <v>1635</v>
      </c>
      <c r="C36" s="1549"/>
    </row>
    <row r="37" spans="1:3">
      <c r="A37" s="8" t="s">
        <v>1635</v>
      </c>
      <c r="B37" s="8" t="s">
        <v>1635</v>
      </c>
      <c r="C37" s="1549"/>
    </row>
    <row r="38" spans="1:3">
      <c r="A38" s="8" t="s">
        <v>1635</v>
      </c>
      <c r="B38" s="8" t="s">
        <v>1635</v>
      </c>
      <c r="C38" s="1549"/>
    </row>
    <row r="39" spans="1:3">
      <c r="A39" s="8" t="s">
        <v>1635</v>
      </c>
      <c r="B39" s="8" t="s">
        <v>1635</v>
      </c>
      <c r="C39" s="1549"/>
    </row>
    <row r="40" spans="1:3">
      <c r="A40" s="8" t="s">
        <v>1635</v>
      </c>
      <c r="B40" s="8" t="s">
        <v>1635</v>
      </c>
      <c r="C40" s="1549"/>
    </row>
    <row r="41" spans="1:3">
      <c r="A41" s="8" t="s">
        <v>1635</v>
      </c>
      <c r="B41" s="8" t="s">
        <v>1635</v>
      </c>
      <c r="C41" s="1549"/>
    </row>
    <row r="42" spans="1:3">
      <c r="A42" s="8" t="s">
        <v>1635</v>
      </c>
      <c r="B42" s="8" t="s">
        <v>1635</v>
      </c>
      <c r="C42" s="1549"/>
    </row>
    <row r="43" spans="1:3">
      <c r="A43" s="8" t="s">
        <v>1635</v>
      </c>
      <c r="B43" s="8" t="s">
        <v>1635</v>
      </c>
      <c r="C43" s="1549"/>
    </row>
    <row r="44" spans="1:3">
      <c r="A44" s="8" t="s">
        <v>1635</v>
      </c>
      <c r="B44" s="8" t="s">
        <v>1635</v>
      </c>
      <c r="C44" s="1549"/>
    </row>
    <row r="45" spans="1:3">
      <c r="A45" s="8" t="s">
        <v>1635</v>
      </c>
      <c r="B45" s="8" t="s">
        <v>1635</v>
      </c>
      <c r="C45" s="1549"/>
    </row>
    <row r="46" spans="1:3">
      <c r="A46" s="8" t="s">
        <v>1635</v>
      </c>
      <c r="B46" s="8" t="s">
        <v>1635</v>
      </c>
      <c r="C46" s="1549"/>
    </row>
    <row r="47" spans="1:3">
      <c r="A47" s="8" t="s">
        <v>1635</v>
      </c>
      <c r="B47" s="8" t="s">
        <v>1635</v>
      </c>
      <c r="C47" s="1549"/>
    </row>
    <row r="48" spans="1:3">
      <c r="A48" s="8" t="s">
        <v>1635</v>
      </c>
      <c r="B48" s="8" t="s">
        <v>1635</v>
      </c>
      <c r="C48" s="1549"/>
    </row>
    <row r="49" spans="1:5">
      <c r="A49" s="8" t="s">
        <v>1635</v>
      </c>
      <c r="B49" s="8" t="s">
        <v>1635</v>
      </c>
      <c r="C49" s="1549"/>
    </row>
    <row r="50" spans="1:5">
      <c r="A50" s="8" t="s">
        <v>1635</v>
      </c>
      <c r="B50" s="8" t="s">
        <v>1635</v>
      </c>
      <c r="C50" s="1549"/>
    </row>
    <row r="51" spans="1:5">
      <c r="A51" s="1761" t="s">
        <v>1938</v>
      </c>
      <c r="B51" s="176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天津津辉置业有限公司拟使用天津市河东区六纬路西侧金茂天津河东一热电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3"/>
    </row>
    <row r="52" spans="1:5">
      <c r="A52" s="1761" t="s">
        <v>1981</v>
      </c>
      <c r="B52" s="1764" t="s">
        <v>1982</v>
      </c>
      <c r="C52" s="1762" t="s">
        <v>1983</v>
      </c>
      <c r="D52" s="1762" t="s">
        <v>1984</v>
      </c>
      <c r="E52" s="1763"/>
    </row>
    <row r="53" spans="1:5">
      <c r="A53" s="3277" t="s">
        <v>1985</v>
      </c>
      <c r="B53" s="1762" t="s">
        <v>1991</v>
      </c>
      <c r="C53" s="176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10月27日，在规划利用条件下、设定土地开发程度为红线外“七通”、宗地内场地，设定用途为，剩余土地使用年限为的出让国有建设用地使用权价格。</v>
      </c>
      <c r="D53" s="1763"/>
      <c r="E53" s="1763"/>
    </row>
    <row r="54" spans="1:5">
      <c r="A54" s="3277"/>
      <c r="B54" s="1762" t="s">
        <v>1992</v>
      </c>
      <c r="C54" s="176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3"/>
      <c r="E54" s="1763"/>
    </row>
    <row r="55" spans="1:5">
      <c r="A55" s="3277"/>
      <c r="B55" s="1762" t="s">
        <v>1986</v>
      </c>
      <c r="C55" s="176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3"/>
      <c r="E55" s="1763"/>
    </row>
    <row r="56" spans="1:5">
      <c r="A56" s="3277"/>
      <c r="B56" s="1762" t="s">
        <v>1987</v>
      </c>
      <c r="C56" s="176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3"/>
      <c r="E56" s="1763"/>
    </row>
    <row r="57" spans="1:5">
      <c r="A57" s="3277"/>
      <c r="B57" s="1762" t="s">
        <v>1988</v>
      </c>
      <c r="C57" s="176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3"/>
      <c r="E57" s="1763"/>
    </row>
    <row r="58" spans="1:5">
      <c r="A58" s="1765" t="s">
        <v>2044</v>
      </c>
      <c r="B58" s="1762" t="s">
        <v>2045</v>
      </c>
      <c r="C58" s="11" t="s">
        <v>2046</v>
      </c>
      <c r="D58" s="1314" t="s">
        <v>2047</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151</vt:i4>
      </vt:variant>
    </vt:vector>
  </HeadingPairs>
  <TitlesOfParts>
    <vt:vector size="20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剩余法-待开发 (2)</vt:lpstr>
      <vt:lpstr>不动产比较法-高层</vt:lpstr>
      <vt:lpstr>不动产比较法-洋房</vt:lpstr>
      <vt:lpstr>不动产收益法底商</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不动产收益法独商</vt:lpstr>
      <vt:lpstr>不动产收益法办公</vt:lpstr>
      <vt:lpstr>不动产收益法厂</vt:lpstr>
      <vt:lpstr>不动产收益法车</vt:lpstr>
      <vt:lpstr>土地案例</vt:lpstr>
      <vt:lpstr>Sheet1</vt:lpstr>
      <vt:lpstr>Sheet1!_Toc493232883</vt:lpstr>
      <vt:lpstr>'比较法-住宅、综合'!Print_Area</vt:lpstr>
      <vt:lpstr>'不动产比较法-高层'!Print_Area</vt:lpstr>
      <vt:lpstr>'不动产比较法-洋房'!Print_Area</vt:lpstr>
      <vt:lpstr>不动产收益法办公!Print_Area</vt:lpstr>
      <vt:lpstr>不动产收益法厂!Print_Area</vt:lpstr>
      <vt:lpstr>不动产收益法车!Print_Area</vt:lpstr>
      <vt:lpstr>不动产收益法底商!Print_Area</vt:lpstr>
      <vt:lpstr>不动产收益法独商!Print_Area</vt:lpstr>
      <vt:lpstr>结果表!Print_Area</vt:lpstr>
      <vt:lpstr>'剩余法-待开发'!Print_Area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'不动产比较法-洋房'!住宅朝向</vt:lpstr>
      <vt:lpstr>住宅朝向</vt:lpstr>
      <vt:lpstr>'不动产比较法-洋房'!住宅房型</vt:lpstr>
      <vt:lpstr>住宅房型</vt:lpstr>
      <vt:lpstr>'不动产比较法-洋房'!住宅公共部分装修</vt:lpstr>
      <vt:lpstr>住宅公共部分装修</vt:lpstr>
      <vt:lpstr>'不动产比较法-洋房'!住宅基础设施水平</vt:lpstr>
      <vt:lpstr>住宅基础设施水平</vt:lpstr>
      <vt:lpstr>'不动产比较法-洋房'!住宅建筑结构</vt:lpstr>
      <vt:lpstr>住宅建筑结构</vt:lpstr>
      <vt:lpstr>'不动产比较法-洋房'!住宅建筑类型</vt:lpstr>
      <vt:lpstr>住宅建筑类型</vt:lpstr>
      <vt:lpstr>'不动产比较法-洋房'!住宅建筑品质</vt:lpstr>
      <vt:lpstr>住宅建筑品质</vt:lpstr>
      <vt:lpstr>'不动产比较法-洋房'!住宅交易情况</vt:lpstr>
      <vt:lpstr>住宅交易情况</vt:lpstr>
      <vt:lpstr>'不动产比较法-洋房'!住宅楼层</vt:lpstr>
      <vt:lpstr>住宅楼层</vt:lpstr>
      <vt:lpstr>'不动产比较法-洋房'!住宅内部装修</vt:lpstr>
      <vt:lpstr>住宅内部装修</vt:lpstr>
      <vt:lpstr>'不动产比较法-洋房'!住宅物业管理</vt:lpstr>
      <vt:lpstr>住宅物业管理</vt:lpstr>
      <vt:lpstr>'不动产比较法-洋房'!住宅用途</vt:lpstr>
      <vt:lpstr>住宅用途</vt:lpstr>
      <vt:lpstr>'不动产比较法-洋房'!住宅主力户型面积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2017-10-23T02:10:38Z</cp:lastPrinted>
  <dcterms:created xsi:type="dcterms:W3CDTF">2015-07-13T07:17:23Z</dcterms:created>
  <dcterms:modified xsi:type="dcterms:W3CDTF">2017-10-30T02:28:37Z</dcterms:modified>
</cp:coreProperties>
</file>