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F7" i="39"/>
  <c r="S7" i="39" s="1"/>
  <c r="B7" i="64"/>
  <c r="B5" i="64"/>
  <c r="C25" i="64"/>
  <c r="B10" i="64"/>
  <c r="B9" i="64"/>
  <c r="D29" i="64" s="1"/>
  <c r="C15" i="64"/>
  <c r="E14" i="64"/>
  <c r="D14" i="64"/>
  <c r="D16" i="64"/>
  <c r="I2" i="65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A16" i="43"/>
  <c r="J71" i="63"/>
  <c r="I71" i="63"/>
  <c r="D8" i="63"/>
  <c r="D19" i="63"/>
  <c r="L1" i="60"/>
  <c r="K1" i="60"/>
  <c r="M1" i="60"/>
  <c r="C7" i="63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/>
  <c r="D60" i="63" s="1"/>
  <c r="F66" i="63"/>
  <c r="G66" i="63" s="1"/>
  <c r="D66" i="63" s="1"/>
  <c r="F64" i="63"/>
  <c r="G64" i="63"/>
  <c r="D64" i="63"/>
  <c r="F62" i="63"/>
  <c r="G62" i="63" s="1"/>
  <c r="D62" i="63"/>
  <c r="J67" i="63"/>
  <c r="I67" i="63"/>
  <c r="J65" i="63"/>
  <c r="I65" i="63"/>
  <c r="J63" i="63"/>
  <c r="I63" i="63"/>
  <c r="J61" i="63"/>
  <c r="I61" i="63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G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D67" i="63" s="1"/>
  <c r="F65" i="63"/>
  <c r="G65" i="63"/>
  <c r="D65" i="63" s="1"/>
  <c r="F63" i="63"/>
  <c r="F61" i="63"/>
  <c r="G61" i="63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D52" i="63"/>
  <c r="D54" i="63"/>
  <c r="D55" i="63"/>
  <c r="D56" i="63"/>
  <c r="D57" i="63"/>
  <c r="E51" i="63"/>
  <c r="B49" i="63" s="1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E70" i="63" s="1"/>
  <c r="B68" i="63" s="1"/>
  <c r="G76" i="63"/>
  <c r="G54" i="63"/>
  <c r="G45" i="63"/>
  <c r="G63" i="63"/>
  <c r="D63" i="63" s="1"/>
  <c r="G55" i="63"/>
  <c r="G52" i="63"/>
  <c r="G47" i="63"/>
  <c r="O4" i="59"/>
  <c r="F31" i="59"/>
  <c r="G29" i="59"/>
  <c r="F13" i="59"/>
  <c r="F18" i="59"/>
  <c r="F9" i="9"/>
  <c r="F5" i="9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AA15" i="39"/>
  <c r="S15" i="39"/>
  <c r="AA37" i="39"/>
  <c r="W45" i="39"/>
  <c r="AB32" i="39"/>
  <c r="B2" i="39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J2" i="65"/>
  <c r="U9" i="39"/>
  <c r="H50" i="43"/>
  <c r="H49" i="43"/>
  <c r="W9" i="39"/>
  <c r="F17" i="59"/>
  <c r="F12" i="59"/>
  <c r="C10" i="63"/>
  <c r="H48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6" i="43"/>
  <c r="H64" i="43"/>
  <c r="H66" i="43"/>
  <c r="F20" i="59"/>
  <c r="F11" i="9"/>
  <c r="T13" i="67"/>
  <c r="D13" i="67"/>
  <c r="C12" i="67"/>
  <c r="F22" i="59"/>
  <c r="F13" i="9"/>
  <c r="C11" i="67"/>
  <c r="D12" i="67"/>
  <c r="B3" i="43"/>
  <c r="D11" i="67"/>
  <c r="D10" i="67"/>
  <c r="B4" i="43"/>
  <c r="D5" i="68"/>
  <c r="D8" i="68"/>
  <c r="D7" i="68"/>
  <c r="D6" i="68"/>
  <c r="H71" i="43"/>
  <c r="H73" i="43"/>
  <c r="H59" i="43"/>
  <c r="H65" i="43"/>
  <c r="H81" i="43"/>
  <c r="H83" i="43"/>
  <c r="H52" i="43"/>
  <c r="H74" i="43"/>
  <c r="H70" i="43"/>
  <c r="H51" i="43"/>
  <c r="H77" i="43"/>
  <c r="C6" i="43"/>
  <c r="W12" i="39"/>
  <c r="I17" i="43"/>
  <c r="K17" i="43"/>
  <c r="L17" i="43"/>
  <c r="M17" i="43"/>
  <c r="G17" i="43" s="1"/>
  <c r="C16" i="43" s="1"/>
  <c r="N17" i="43"/>
  <c r="E17" i="43"/>
  <c r="F35" i="43"/>
  <c r="F39" i="43"/>
  <c r="F38" i="43"/>
  <c r="H114" i="43"/>
  <c r="D17" i="43"/>
  <c r="D27" i="64"/>
  <c r="G3" i="43"/>
  <c r="E22" i="43" s="1"/>
  <c r="B11" i="64"/>
  <c r="C21" i="64" s="1"/>
  <c r="G3" i="63"/>
  <c r="B80" i="63" s="1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1" i="65"/>
  <c r="L102" i="43"/>
  <c r="L104" i="43" s="1"/>
  <c r="S25" i="39"/>
  <c r="AA25" i="39"/>
  <c r="AC25" i="39"/>
  <c r="U25" i="39"/>
  <c r="AB25" i="39"/>
  <c r="AB27" i="39"/>
  <c r="U27" i="39"/>
  <c r="D8" i="67"/>
  <c r="C7" i="67"/>
  <c r="L107" i="43"/>
  <c r="D7" i="67"/>
  <c r="C6" i="67"/>
  <c r="D6" i="67"/>
  <c r="B17" i="59"/>
  <c r="B18" i="59"/>
  <c r="C28" i="64"/>
  <c r="C30" i="64"/>
  <c r="C29" i="64" s="1"/>
  <c r="E29" i="64" s="1"/>
  <c r="E28" i="64"/>
  <c r="G8" i="65"/>
  <c r="E4" i="65"/>
  <c r="H4" i="65"/>
  <c r="G5" i="65"/>
  <c r="G6" i="65"/>
  <c r="G7" i="65"/>
  <c r="G4" i="65"/>
  <c r="H5" i="65"/>
  <c r="E7" i="65"/>
  <c r="H7" i="65"/>
  <c r="E8" i="65"/>
  <c r="H8" i="65"/>
  <c r="E5" i="65"/>
  <c r="H6" i="65"/>
  <c r="E6" i="65"/>
  <c r="F33" i="59" l="1"/>
  <c r="B17" i="9" s="1"/>
  <c r="C27" i="64"/>
  <c r="E27" i="64" s="1"/>
  <c r="C58" i="39"/>
  <c r="D56" i="39"/>
  <c r="I9" i="63"/>
  <c r="C9" i="63" s="1"/>
  <c r="I19" i="43"/>
  <c r="J7" i="39"/>
  <c r="AA7" i="39"/>
  <c r="R47" i="39" s="1"/>
  <c r="J1" i="65"/>
  <c r="C19" i="43"/>
  <c r="H7" i="39"/>
  <c r="F102" i="43"/>
  <c r="F103" i="43" s="1"/>
  <c r="F11" i="39"/>
  <c r="AA11" i="39" s="1"/>
  <c r="H11" i="39"/>
  <c r="J11" i="39"/>
  <c r="W11" i="39" s="1"/>
  <c r="F107" i="43"/>
  <c r="L106" i="43"/>
  <c r="C23" i="43"/>
  <c r="M102" i="43"/>
  <c r="N104" i="46"/>
  <c r="E42" i="63"/>
  <c r="B40" i="63" s="1"/>
  <c r="C21" i="43"/>
  <c r="M104" i="43"/>
  <c r="M103" i="43"/>
  <c r="L110" i="43"/>
  <c r="L108" i="43"/>
  <c r="AC11" i="39"/>
  <c r="H102" i="43"/>
  <c r="H104" i="43" s="1"/>
  <c r="C102" i="43"/>
  <c r="G22" i="43"/>
  <c r="D22" i="43" s="1"/>
  <c r="G102" i="43"/>
  <c r="F22" i="43"/>
  <c r="G12" i="63"/>
  <c r="H12" i="63" s="1"/>
  <c r="E13" i="63"/>
  <c r="F13" i="63" s="1"/>
  <c r="G104" i="43"/>
  <c r="F106" i="43"/>
  <c r="M106" i="43"/>
  <c r="M105" i="43"/>
  <c r="C106" i="43"/>
  <c r="L105" i="43"/>
  <c r="L103" i="43"/>
  <c r="H105" i="43"/>
  <c r="H108" i="43"/>
  <c r="J22" i="43"/>
  <c r="D102" i="43"/>
  <c r="D103" i="43" s="1"/>
  <c r="J102" i="43"/>
  <c r="J103" i="43" s="1"/>
  <c r="N102" i="43"/>
  <c r="N105" i="43" s="1"/>
  <c r="K102" i="43"/>
  <c r="K107" i="43" s="1"/>
  <c r="B114" i="43"/>
  <c r="H22" i="43"/>
  <c r="E102" i="43"/>
  <c r="I102" i="43"/>
  <c r="D14" i="63"/>
  <c r="G13" i="63"/>
  <c r="H13" i="63" s="1"/>
  <c r="E12" i="63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D5" i="43"/>
  <c r="C5" i="43"/>
  <c r="E60" i="63"/>
  <c r="B58" i="63" s="1"/>
  <c r="C15" i="63" s="1"/>
  <c r="H55" i="43"/>
  <c r="H54" i="43"/>
  <c r="H53" i="43"/>
  <c r="AA12" i="39"/>
  <c r="N106" i="43"/>
  <c r="J104" i="43"/>
  <c r="S11" i="39"/>
  <c r="B83" i="63"/>
  <c r="B84" i="63"/>
  <c r="B81" i="63" s="1"/>
  <c r="B82" i="63"/>
  <c r="B85" i="63"/>
  <c r="C5" i="68"/>
  <c r="C7" i="68"/>
  <c r="C8" i="68"/>
  <c r="C6" i="68"/>
  <c r="F12" i="63"/>
  <c r="D20" i="63"/>
  <c r="E30" i="64"/>
  <c r="R48" i="39"/>
  <c r="E47" i="39"/>
  <c r="I3" i="65"/>
  <c r="I1" i="65"/>
  <c r="D4" i="65"/>
  <c r="D6" i="65"/>
  <c r="D7" i="65"/>
  <c r="D5" i="65"/>
  <c r="D8" i="65"/>
  <c r="G1" i="65"/>
  <c r="D104" i="43" l="1"/>
  <c r="N103" i="43"/>
  <c r="K3" i="65"/>
  <c r="K4" i="65"/>
  <c r="K2" i="65"/>
  <c r="D58" i="39"/>
  <c r="E56" i="39"/>
  <c r="C20" i="63"/>
  <c r="AB7" i="39"/>
  <c r="T47" i="39" s="1"/>
  <c r="G47" i="39" s="1"/>
  <c r="U7" i="39"/>
  <c r="W7" i="39"/>
  <c r="AC7" i="39"/>
  <c r="V47" i="39" s="1"/>
  <c r="I47" i="39" s="1"/>
  <c r="I51" i="39" s="1"/>
  <c r="J51" i="39" s="1"/>
  <c r="K106" i="43"/>
  <c r="F105" i="43"/>
  <c r="F104" i="43"/>
  <c r="F108" i="43"/>
  <c r="F110" i="43"/>
  <c r="U11" i="39"/>
  <c r="AB11" i="39"/>
  <c r="M110" i="43"/>
  <c r="M108" i="43"/>
  <c r="M107" i="43"/>
  <c r="C21" i="63"/>
  <c r="E21" i="63" s="1"/>
  <c r="G106" i="43"/>
  <c r="G107" i="43"/>
  <c r="G105" i="43"/>
  <c r="G108" i="43"/>
  <c r="G110" i="43"/>
  <c r="C108" i="43"/>
  <c r="C105" i="43"/>
  <c r="C110" i="43"/>
  <c r="C103" i="43"/>
  <c r="D110" i="43"/>
  <c r="C107" i="43"/>
  <c r="C104" i="43"/>
  <c r="G103" i="43"/>
  <c r="H110" i="43"/>
  <c r="H106" i="43"/>
  <c r="H107" i="43"/>
  <c r="H103" i="43"/>
  <c r="I108" i="43"/>
  <c r="I110" i="43"/>
  <c r="I103" i="43"/>
  <c r="I104" i="43"/>
  <c r="I106" i="43"/>
  <c r="I107" i="43"/>
  <c r="I105" i="43"/>
  <c r="K110" i="43"/>
  <c r="K103" i="43"/>
  <c r="K104" i="43"/>
  <c r="K108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B4" i="63"/>
  <c r="C22" i="63"/>
  <c r="B5" i="63" s="1"/>
  <c r="E20" i="63"/>
  <c r="C48" i="39"/>
  <c r="B3" i="39" s="1"/>
  <c r="C47" i="39"/>
  <c r="I52" i="39"/>
  <c r="J52" i="39" s="1"/>
  <c r="G21" i="59"/>
  <c r="G12" i="9" s="1"/>
  <c r="G3" i="65"/>
  <c r="G2" i="65"/>
  <c r="E20" i="43"/>
  <c r="P20" i="43" l="1"/>
  <c r="R20" i="43"/>
  <c r="G20" i="43" s="1"/>
  <c r="E41" i="43" s="1"/>
  <c r="C41" i="43" s="1"/>
  <c r="Q20" i="43"/>
  <c r="S20" i="43"/>
  <c r="G9" i="59"/>
  <c r="C23" i="64"/>
  <c r="C22" i="64" s="1"/>
  <c r="B3" i="64" s="1"/>
  <c r="G52" i="39"/>
  <c r="H52" i="39" s="1"/>
  <c r="G51" i="39"/>
  <c r="H51" i="39" s="1"/>
  <c r="E58" i="39"/>
  <c r="F56" i="39"/>
  <c r="F7" i="59"/>
  <c r="C11" i="63"/>
  <c r="C18" i="63" s="1"/>
  <c r="C116" i="43"/>
  <c r="D114" i="43"/>
  <c r="F21" i="59"/>
  <c r="F12" i="9" s="1"/>
  <c r="F14" i="9" s="1"/>
  <c r="C19" i="63"/>
  <c r="E19" i="63" s="1"/>
  <c r="C12" i="9"/>
  <c r="C20" i="43" l="1"/>
  <c r="C37" i="43" s="1"/>
  <c r="G56" i="39"/>
  <c r="F58" i="39"/>
  <c r="F11" i="59"/>
  <c r="B3" i="63"/>
  <c r="F6" i="59" s="1"/>
  <c r="F5" i="59" s="1"/>
  <c r="E18" i="63"/>
  <c r="C38" i="43"/>
  <c r="C39" i="43"/>
  <c r="C33" i="43" l="1"/>
  <c r="E33" i="43" s="1"/>
  <c r="C35" i="43"/>
  <c r="G35" i="43" s="1"/>
  <c r="I35" i="43" s="1"/>
  <c r="C34" i="43"/>
  <c r="G34" i="43" s="1"/>
  <c r="I34" i="43" s="1"/>
  <c r="C29" i="43"/>
  <c r="E29" i="43" s="1"/>
  <c r="C36" i="43"/>
  <c r="E36" i="43" s="1"/>
  <c r="H56" i="39"/>
  <c r="G58" i="39"/>
  <c r="F8" i="59"/>
  <c r="B5" i="9"/>
  <c r="E39" i="43"/>
  <c r="G39" i="43"/>
  <c r="I39" i="43" s="1"/>
  <c r="E37" i="43"/>
  <c r="G37" i="43"/>
  <c r="I37" i="43" s="1"/>
  <c r="G38" i="43"/>
  <c r="I38" i="43" s="1"/>
  <c r="E38" i="43"/>
  <c r="E35" i="43"/>
  <c r="E34" i="43"/>
  <c r="G33" i="43" l="1"/>
  <c r="I33" i="43" s="1"/>
  <c r="G36" i="43"/>
  <c r="I36" i="43" s="1"/>
  <c r="C30" i="43"/>
  <c r="E30" i="43" s="1"/>
  <c r="H58" i="39"/>
  <c r="I56" i="39"/>
  <c r="B11" i="9"/>
  <c r="F9" i="59"/>
  <c r="B12" i="9" s="1"/>
  <c r="F10" i="59"/>
  <c r="B13" i="9" s="1"/>
  <c r="C26" i="43"/>
  <c r="B2" i="43" s="1"/>
  <c r="C27" i="43" l="1"/>
  <c r="I58" i="39"/>
  <c r="J56" i="39"/>
  <c r="F4" i="59"/>
  <c r="F24" i="59" s="1"/>
  <c r="B14" i="9"/>
  <c r="J58" i="39" l="1"/>
  <c r="K56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<sst xmlns="http://schemas.openxmlformats.org/spreadsheetml/2006/main" count="3956" uniqueCount="1799">
  <si>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</si>
  <si>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</si>
  <si>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</si>
  <si>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</si>
  <si>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</si>
  <si>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</si>
  <si>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</si>
  <si>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</si>
  <si>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</si>
  <si>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</si>
  <si>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</si>
  <si>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</si>
  <si>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</si>
  <si>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</si>
  <si>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</si>
  <si>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</si>
  <si>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</si>
  <si>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</si>
  <si>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</si>
  <si>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</si>
  <si>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</si>
  <si>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</si>
  <si>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</si>
  <si>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</si>
  <si>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</si>
  <si>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</si>
  <si>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</si>
  <si>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</si>
  <si>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</si>
  <si>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</si>
  <si>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</si>
  <si>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</si>
  <si>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</si>
  <si>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</si>
  <si>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</si>
  <si>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</si>
  <si>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</si>
  <si>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</si>
  <si>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</si>
  <si>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</si>
  <si>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</si>
  <si>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</si>
  <si>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</si>
  <si>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</si>
  <si>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</si>
  <si>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</si>
  <si>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</si>
  <si>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</si>
  <si>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</si>
  <si>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</si>
  <si>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</si>
  <si>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</si>
  <si>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</si>
  <si>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</si>
  <si>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</si>
  <si>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</si>
  <si>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</si>
  <si>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</si>
  <si>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</si>
  <si>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</si>
  <si>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</si>
  <si>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</si>
  <si>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</si>
  <si>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</si>
  <si>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</si>
  <si>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</si>
  <si>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</si>
  <si>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</si>
  <si>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</si>
  <si>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</si>
  <si>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</si>
  <si>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</si>
  <si>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</si>
  <si>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</si>
  <si>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</si>
  <si>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</si>
  <si>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</si>
  <si>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</si>
  <si>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</si>
  <si>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</si>
  <si>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</si>
  <si>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</si>
  <si>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</si>
  <si>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</si>
  <si>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</si>
  <si>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</si>
  <si>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</si>
  <si>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</si>
  <si>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</si>
  <si>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</si>
  <si>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</si>
  <si>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</si>
  <si>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</si>
  <si>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</si>
  <si>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</si>
  <si>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</si>
  <si>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</si>
  <si>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</si>
  <si>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</si>
  <si>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</si>
  <si>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</si>
  <si>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</si>
  <si>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</si>
  <si>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</si>
  <si>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</si>
  <si>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</si>
  <si>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</si>
  <si>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</si>
  <si>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</si>
  <si>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</si>
  <si>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</si>
  <si>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</si>
  <si>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</si>
  <si>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</si>
  <si>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</si>
  <si>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</si>
  <si>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</si>
  <si>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</si>
  <si>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</si>
  <si>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</si>
  <si>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</si>
  <si>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</si>
  <si>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</si>
  <si>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</si>
  <si>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</si>
  <si>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</si>
  <si>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</si>
  <si>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</si>
  <si>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</si>
  <si>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</si>
  <si>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</si>
  <si>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</si>
  <si>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</si>
  <si>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</si>
  <si>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</si>
  <si>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</si>
  <si>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</si>
  <si>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</si>
  <si>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</si>
  <si>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</si>
  <si>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</si>
  <si>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</si>
  <si>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</si>
  <si>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</si>
  <si>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</si>
  <si>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</si>
  <si>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</si>
  <si>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</si>
  <si>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</si>
  <si>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</si>
  <si>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</si>
  <si>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</si>
  <si>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</si>
  <si>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</si>
  <si>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</si>
  <si>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</si>
  <si>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</si>
  <si>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</si>
  <si>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</si>
  <si>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</si>
  <si>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</si>
  <si>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</si>
  <si>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</si>
  <si>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</si>
  <si>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</si>
  <si>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</si>
  <si>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</si>
  <si>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</si>
  <si>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</si>
  <si>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</si>
  <si>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</si>
  <si>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</si>
  <si>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</si>
  <si>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</si>
  <si>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</si>
  <si>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</si>
  <si>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</si>
  <si>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</si>
  <si>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</si>
  <si>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</si>
  <si>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</si>
  <si>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</si>
  <si>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</si>
  <si>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</si>
  <si>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</si>
  <si>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</si>
  <si>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</si>
  <si>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</si>
  <si>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</si>
  <si>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</si>
  <si>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</si>
  <si>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</si>
  <si>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</si>
  <si>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</si>
  <si>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</si>
  <si>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</si>
  <si>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</si>
  <si>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</si>
  <si>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</si>
  <si>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</si>
  <si>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</si>
  <si>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</si>
  <si>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</si>
  <si>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</si>
  <si>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</si>
  <si>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</si>
  <si>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</si>
  <si>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</si>
  <si>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</si>
  <si>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</si>
  <si>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</si>
  <si>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</si>
  <si>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</si>
  <si>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</si>
  <si>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</si>
  <si>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</si>
  <si>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</si>
  <si>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</si>
  <si>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</si>
  <si>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</si>
  <si>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</si>
  <si>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</si>
  <si>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</si>
  <si>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</si>
  <si>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</si>
  <si>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</si>
  <si>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</si>
  <si>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</si>
  <si>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</si>
  <si>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</si>
  <si>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</si>
  <si>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</si>
  <si>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</si>
  <si>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</si>
  <si>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</si>
  <si>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</si>
  <si>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</si>
  <si>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</si>
  <si>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</si>
  <si>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</si>
  <si>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</si>
  <si>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</si>
  <si>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</si>
  <si>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</si>
  <si>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</si>
  <si>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</si>
  <si>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</si>
  <si>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</si>
  <si>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</si>
  <si>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</si>
  <si>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</si>
  <si>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</si>
  <si>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</si>
  <si>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</si>
  <si>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</si>
  <si>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</si>
  <si>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</si>
  <si>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</si>
  <si>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</si>
  <si>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</si>
  <si>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</si>
  <si>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</si>
  <si>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</si>
  <si>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</si>
  <si>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</si>
  <si>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</si>
  <si>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</si>
  <si>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</si>
  <si>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</si>
  <si>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</si>
  <si>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</si>
  <si>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</si>
  <si>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</si>
  <si>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</si>
  <si>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</si>
  <si>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</si>
  <si>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</si>
  <si>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</si>
  <si>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</si>
  <si>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</si>
  <si>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</si>
  <si>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</si>
  <si>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</si>
  <si>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</si>
  <si>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</si>
  <si>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</si>
  <si>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</si>
  <si>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</si>
  <si>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</si>
  <si>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</si>
  <si>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</si>
  <si>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</si>
  <si>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</si>
  <si>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</si>
  <si>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</si>
  <si>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</si>
  <si>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</si>
  <si>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</si>
  <si>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</si>
  <si>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</si>
  <si>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</si>
  <si>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</si>
  <si>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</si>
  <si>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</si>
  <si>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</si>
  <si>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</si>
  <si>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</si>
  <si>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</si>
  <si>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</si>
  <si>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</si>
  <si>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</si>
  <si>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</si>
  <si>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</si>
  <si>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</si>
  <si>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</si>
  <si>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</si>
  <si>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</si>
  <si>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</si>
  <si>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</si>
  <si>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</si>
  <si>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</si>
  <si>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</si>
  <si>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</si>
  <si>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</si>
  <si>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</si>
  <si>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</si>
  <si>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</si>
  <si>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</si>
  <si>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</si>
  <si>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</si>
  <si>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</si>
  <si>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</si>
  <si>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</si>
  <si>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</si>
  <si>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</si>
  <si>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</si>
  <si>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</si>
  <si>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</si>
  <si>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</si>
  <si>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</si>
  <si>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</si>
  <si>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</si>
  <si>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</si>
  <si>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</si>
  <si>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</si>
  <si>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</si>
  <si>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</si>
  <si>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</si>
  <si>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</si>
  <si>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</si>
  <si>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</si>
  <si>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</si>
  <si>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</si>
  <si>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</si>
  <si>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</si>
  <si>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</si>
  <si>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</si>
  <si>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</si>
  <si>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</si>
  <si>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</si>
  <si>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</si>
  <si>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</si>
  <si>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</si>
  <si>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</si>
  <si>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</si>
  <si>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</si>
  <si>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</si>
  <si>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</si>
  <si>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</si>
  <si>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</si>
  <si>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</si>
  <si>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</si>
  <si>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</si>
  <si>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</si>
  <si>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</si>
  <si>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</si>
  <si>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</si>
  <si>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</si>
  <si>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</si>
  <si>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</si>
  <si>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</si>
  <si>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</si>
  <si>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</si>
  <si>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</si>
  <si>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</si>
  <si>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</si>
  <si>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</si>
  <si>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</si>
  <si>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</si>
  <si>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</si>
  <si>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</si>
  <si>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</si>
  <si>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</si>
  <si>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</si>
  <si>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</si>
  <si>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</si>
  <si>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</si>
  <si>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</si>
  <si>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</si>
  <si>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</si>
  <si>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</si>
  <si>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</si>
  <si>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</si>
  <si>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</si>
  <si>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</si>
  <si>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</si>
  <si>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</si>
  <si>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</si>
  <si>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</si>
  <si>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</si>
  <si>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</si>
  <si>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</si>
  <si>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</si>
  <si>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</si>
  <si>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</si>
  <si>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</si>
  <si>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</si>
  <si>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</si>
  <si>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</si>
  <si>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</si>
  <si>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</si>
  <si>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</si>
  <si>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</si>
  <si>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</si>
  <si>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</si>
  <si>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</si>
  <si>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</si>
  <si>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</si>
  <si>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</si>
  <si>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</si>
  <si>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</si>
  <si>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</si>
  <si>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</si>
  <si>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</si>
  <si>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</si>
  <si>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</si>
  <si>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</si>
  <si>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</si>
  <si>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</si>
  <si>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</si>
  <si>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</si>
  <si>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</si>
  <si>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</si>
  <si>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</si>
  <si>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</si>
  <si>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</si>
  <si>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</si>
  <si>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</si>
  <si>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</si>
  <si>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</si>
  <si>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</si>
  <si>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</si>
  <si>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</si>
  <si>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</si>
  <si>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</si>
  <si>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</si>
  <si>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</si>
  <si>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</si>
  <si>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</si>
  <si>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</si>
  <si>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</si>
  <si>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</si>
  <si>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</si>
  <si>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</si>
  <si>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</si>
  <si>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</si>
  <si>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</si>
  <si>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</si>
  <si>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</si>
  <si>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</si>
  <si>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</si>
  <si>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</si>
  <si>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</si>
  <si>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</si>
  <si>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</si>
  <si>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</si>
  <si>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</si>
  <si>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</si>
  <si>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</si>
  <si>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</si>
  <si>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</si>
  <si>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</si>
  <si>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</si>
  <si>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</si>
  <si>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</si>
  <si>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</si>
  <si>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</si>
  <si>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</si>
  <si>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</si>
  <si>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</si>
  <si>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</si>
  <si>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</si>
  <si>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</si>
  <si>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</si>
  <si>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</si>
  <si>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</si>
  <si>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</si>
  <si>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</si>
  <si>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</si>
  <si>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</si>
  <si>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</si>
  <si>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</si>
  <si>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</si>
  <si>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</si>
  <si>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</si>
  <si>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</si>
  <si>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</si>
  <si>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</si>
  <si>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</si>
  <si>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</si>
  <si>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</si>
  <si>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</si>
  <si>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</si>
  <si>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</si>
  <si>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</si>
  <si>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</si>
  <si>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</si>
  <si>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</si>
  <si>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</si>
  <si>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</si>
  <si>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</si>
  <si>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</si>
  <si>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</si>
  <si>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</si>
  <si>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</si>
  <si>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</si>
  <si>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</si>
  <si>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</si>
  <si>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</si>
  <si>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</si>
  <si>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</si>
  <si>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</si>
  <si>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</si>
  <si>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</si>
  <si>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</si>
  <si>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</si>
  <si>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</si>
  <si>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</si>
  <si>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</si>
  <si>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</si>
  <si>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</si>
  <si>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</si>
  <si>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</si>
  <si>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</si>
  <si>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</si>
  <si>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</si>
  <si>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</si>
  <si>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</si>
  <si>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</si>
  <si>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</si>
  <si>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</si>
  <si>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</si>
  <si>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</si>
  <si>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</si>
  <si>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</si>
  <si>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</si>
  <si>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</si>
  <si>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</si>
  <si>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</si>
  <si>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</si>
  <si>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</si>
  <si>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</si>
  <si>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</si>
  <si>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</si>
  <si>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</si>
  <si>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</si>
  <si>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</si>
  <si>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</si>
  <si>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</si>
  <si>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</si>
  <si>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</si>
  <si>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</si>
  <si>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</si>
  <si>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</si>
  <si>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</si>
  <si>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</si>
  <si>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</si>
  <si>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</si>
  <si>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</si>
  <si>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</si>
  <si>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</si>
  <si>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</si>
  <si>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</si>
  <si>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</si>
  <si>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</si>
  <si>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</si>
  <si>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</si>
  <si>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</si>
  <si>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</si>
  <si>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</si>
  <si>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</si>
  <si>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</si>
  <si>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</si>
  <si>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</si>
  <si>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</si>
  <si>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</si>
  <si>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</si>
  <si>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</si>
  <si>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</si>
  <si>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</si>
  <si>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</si>
  <si>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</si>
  <si>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</si>
  <si>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</si>
  <si>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</si>
  <si>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</si>
  <si>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</si>
  <si>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</si>
  <si>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</si>
  <si>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</si>
  <si>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</si>
  <si>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</si>
  <si>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</si>
  <si>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</si>
  <si>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</si>
  <si>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</si>
  <si>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</si>
  <si>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</si>
  <si>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</si>
  <si>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</si>
  <si>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</si>
  <si>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</si>
  <si>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</si>
  <si>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</si>
  <si>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</si>
  <si>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</si>
  <si>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</si>
  <si>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</si>
  <si>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</si>
  <si>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</si>
  <si>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</si>
  <si>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</si>
  <si>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</si>
  <si>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</si>
  <si>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</si>
  <si>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</si>
  <si>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</si>
  <si>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</si>
  <si>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</si>
  <si>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</si>
  <si>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</si>
  <si>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</si>
  <si>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</si>
  <si>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</si>
  <si>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</si>
  <si>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</si>
  <si>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</si>
  <si>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</si>
  <si>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</si>
  <si>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</si>
  <si>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</si>
  <si>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</si>
  <si>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</si>
  <si>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</si>
  <si>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</si>
  <si>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</si>
  <si>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</si>
  <si>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</si>
  <si>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</si>
  <si>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</si>
  <si>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</si>
  <si>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</si>
  <si>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</si>
  <si>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</si>
  <si>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</si>
  <si>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</si>
  <si>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</si>
  <si>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</si>
  <si>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</si>
  <si>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</si>
  <si>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</si>
  <si>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</si>
  <si>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</si>
  <si>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</si>
  <si>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</si>
  <si>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</si>
  <si>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</si>
  <si>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</si>
  <si>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</si>
  <si>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</si>
  <si>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</si>
  <si>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</si>
  <si>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</si>
  <si>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</si>
  <si>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</si>
  <si>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</si>
  <si>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</si>
  <si>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</si>
  <si>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</si>
  <si>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</si>
  <si>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</si>
  <si>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</si>
  <si>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</si>
  <si>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</si>
  <si>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</si>
  <si>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</si>
  <si>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</si>
  <si>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</si>
  <si>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</si>
  <si>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</si>
  <si>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</si>
  <si>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</si>
  <si>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</si>
  <si>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</si>
  <si>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</si>
  <si>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</si>
  <si>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</si>
  <si>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</si>
  <si>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</si>
  <si>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</si>
  <si>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</si>
  <si>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</si>
  <si>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</si>
  <si>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</si>
  <si>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</si>
  <si>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</si>
  <si>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</si>
  <si>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</si>
  <si>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</si>
  <si>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</si>
  <si>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</si>
  <si>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</si>
  <si>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</si>
  <si>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</si>
  <si>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</si>
  <si>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</si>
  <si>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</si>
  <si>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</si>
  <si>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</si>
  <si>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</si>
  <si>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</si>
  <si>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</si>
  <si>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</si>
  <si>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</si>
  <si>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</si>
  <si>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</si>
  <si>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</si>
  <si>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</si>
  <si>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</si>
  <si>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</si>
  <si>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</si>
  <si>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</si>
  <si>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</si>
  <si>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</si>
  <si>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</si>
  <si>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</si>
  <si>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</si>
  <si>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</si>
  <si>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</si>
  <si>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</si>
  <si>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</si>
  <si>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</si>
  <si>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</si>
  <si>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</si>
  <si>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</si>
  <si>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</si>
  <si>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</si>
  <si>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</si>
  <si>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</si>
  <si>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</si>
  <si>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</si>
  <si>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</si>
  <si>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</si>
  <si>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</si>
  <si>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</si>
  <si>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</si>
  <si>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</si>
  <si>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</si>
  <si>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</si>
  <si>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</si>
  <si>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</si>
  <si>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</si>
  <si>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</si>
  <si>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</si>
  <si>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</si>
  <si>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</si>
  <si>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</si>
  <si>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</si>
  <si>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</si>
  <si>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</si>
  <si>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</si>
  <si>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</si>
  <si>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</si>
  <si>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</si>
  <si>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</si>
  <si>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</si>
  <si>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</si>
  <si>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</si>
  <si>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</si>
  <si>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</si>
  <si>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</si>
  <si>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</si>
  <si>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</si>
  <si>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</si>
  <si>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</si>
  <si>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</si>
  <si>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</si>
  <si>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</si>
  <si>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</si>
  <si>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</si>
  <si>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</si>
  <si>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</si>
  <si>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</si>
  <si>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</si>
  <si>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</si>
  <si>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</si>
  <si>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</si>
  <si>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</si>
  <si>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</si>
  <si>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</si>
  <si>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</si>
  <si>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</si>
  <si>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</si>
  <si>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</si>
  <si>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</si>
  <si>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</si>
  <si>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</si>
  <si>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</si>
  <si>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</si>
  <si>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</si>
  <si>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</si>
  <si>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</si>
  <si>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</si>
  <si>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</si>
  <si>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</si>
  <si>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</si>
  <si>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</si>
  <si>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</si>
  <si>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</si>
  <si>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</si>
  <si>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</si>
  <si>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</si>
  <si>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</si>
  <si>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</si>
  <si>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</si>
  <si>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</si>
  <si>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</si>
  <si>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</si>
  <si>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</si>
  <si>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</si>
  <si>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</si>
  <si>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</si>
  <si>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</si>
  <si>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</si>
  <si>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</si>
  <si>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</si>
  <si>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</si>
  <si>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</si>
  <si>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</si>
  <si>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</si>
  <si>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</si>
  <si>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</si>
  <si>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</si>
  <si>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</si>
  <si>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</si>
  <si>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</si>
  <si>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</si>
  <si>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</si>
  <si>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</si>
  <si>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</si>
  <si>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</si>
  <si>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</si>
  <si>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</si>
  <si>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</si>
  <si>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</si>
  <si>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</si>
  <si>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</si>
  <si>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</si>
  <si>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</si>
  <si>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</si>
  <si>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</si>
  <si>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</si>
  <si>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</si>
  <si>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</si>
  <si>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</si>
  <si>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</si>
  <si>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</si>
  <si>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</si>
  <si>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</si>
  <si>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</si>
  <si>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</si>
  <si>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</si>
  <si>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</si>
  <si>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</si>
  <si>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</si>
  <si>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</si>
  <si>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</si>
  <si>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</si>
  <si>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</si>
  <si>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</si>
  <si>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</si>
  <si>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</si>
  <si>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</si>
  <si>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</si>
  <si>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</si>
  <si>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</si>
  <si>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</si>
  <si>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</si>
  <si>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</si>
  <si>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</si>
  <si>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</si>
  <si>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</si>
  <si>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</si>
  <si>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</si>
  <si>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</si>
  <si>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</si>
  <si>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</si>
  <si>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</si>
  <si>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</si>
  <si>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</si>
  <si>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</si>
  <si>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</si>
  <si>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</si>
  <si>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</si>
  <si>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</si>
  <si>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</si>
  <si>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</si>
  <si>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</si>
  <si>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</si>
  <si>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</si>
  <si>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</si>
  <si>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</si>
  <si>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</si>
  <si>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</si>
  <si>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</si>
  <si>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</si>
  <si>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</si>
  <si>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</si>
  <si>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</si>
  <si>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</si>
  <si>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</si>
  <si>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</si>
  <si>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</si>
  <si>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</si>
  <si>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</si>
  <si>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</si>
  <si>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</si>
  <si>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</si>
  <si>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</si>
  <si>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</si>
  <si>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</si>
  <si>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</si>
  <si>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</si>
  <si>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</si>
  <si>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</si>
  <si>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</si>
  <si>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</si>
  <si>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</si>
  <si>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</si>
  <si>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</si>
  <si>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</si>
  <si>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</si>
  <si>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</si>
  <si>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</si>
  <si>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</si>
  <si>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</si>
  <si>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</si>
  <si>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</si>
  <si>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</si>
  <si>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</si>
  <si>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</si>
  <si>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</si>
  <si>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</si>
  <si>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</si>
  <si>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</si>
  <si>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</si>
  <si>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</si>
  <si>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</si>
  <si>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</si>
  <si>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</si>
  <si>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</si>
  <si>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</si>
  <si>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</si>
  <si>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</si>
  <si>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</si>
  <si>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</si>
  <si>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</si>
  <si>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</si>
  <si>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</si>
  <si>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</si>
  <si>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</si>
  <si>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</si>
  <si>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</si>
  <si>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</si>
  <si>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</si>
  <si>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</si>
  <si>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</si>
  <si>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</si>
  <si>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</si>
  <si>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</si>
  <si>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</si>
  <si>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</si>
  <si>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</si>
  <si>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</si>
  <si>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</si>
  <si>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</si>
  <si>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</si>
  <si>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</si>
  <si>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</si>
  <si>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</si>
  <si>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</si>
  <si>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</si>
  <si>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</si>
  <si>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</si>
  <si>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</si>
  <si>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</si>
  <si>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</si>
  <si>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</si>
  <si>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</si>
  <si>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</si>
  <si>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</si>
  <si>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</si>
  <si>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</si>
  <si>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</si>
  <si>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</si>
  <si>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</si>
  <si>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</si>
  <si>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</si>
  <si>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</si>
  <si>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</si>
  <si>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</si>
  <si>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</si>
  <si>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</si>
  <si>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</si>
  <si>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</si>
  <si>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</si>
  <si>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</si>
  <si>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</si>
  <si>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</si>
  <si>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</si>
  <si>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</si>
  <si>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</si>
  <si>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</si>
  <si>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</si>
  <si>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</si>
  <si>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</si>
  <si>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</si>
  <si>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</si>
  <si>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</si>
  <si>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</si>
  <si>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</si>
  <si>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</si>
  <si>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</si>
  <si>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</si>
  <si>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</si>
  <si>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</si>
  <si>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</si>
  <si>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</si>
  <si>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</si>
  <si>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</si>
  <si>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</si>
  <si>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</si>
  <si>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</si>
  <si>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</si>
  <si>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</si>
  <si>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</si>
  <si>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</si>
  <si>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</si>
  <si>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</si>
  <si>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</si>
  <si>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</si>
  <si>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</si>
  <si>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</si>
  <si>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</si>
  <si>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</si>
  <si>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</si>
  <si>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</si>
  <si>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</si>
  <si>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</si>
  <si>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</si>
  <si>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</si>
  <si>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</si>
  <si>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</si>
  <si>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</si>
  <si>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</si>
  <si>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</si>
  <si>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</si>
  <si>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</si>
  <si>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</si>
  <si>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</si>
  <si>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</si>
  <si>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</si>
  <si>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</si>
  <si>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</si>
  <si>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</si>
  <si>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</si>
  <si>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</si>
  <si>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</si>
  <si>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</si>
  <si>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</si>
  <si>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</si>
  <si>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</si>
  <si>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</si>
  <si>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</si>
  <si>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</si>
  <si>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</si>
  <si>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</si>
  <si>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</si>
  <si>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</si>
  <si>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</si>
  <si>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</si>
  <si>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</si>
  <si>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</si>
  <si>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</si>
  <si>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</si>
  <si>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</si>
  <si>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</si>
  <si>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</si>
  <si>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</si>
  <si>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</si>
  <si>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</si>
  <si>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</si>
  <si>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</si>
  <si>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</si>
  <si>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</si>
  <si>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</si>
  <si>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</si>
  <si>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</si>
  <si>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</si>
  <si>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</si>
  <si>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</si>
  <si>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</si>
  <si>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</si>
  <si>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</si>
  <si>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</si>
  <si>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</si>
  <si>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</si>
  <si>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</si>
  <si>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</si>
  <si>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</si>
  <si>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</si>
  <si>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</si>
  <si>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</si>
  <si>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</si>
  <si>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</si>
  <si>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</si>
  <si>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</si>
  <si>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</si>
  <si>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</si>
  <si>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</si>
  <si>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</si>
  <si>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</si>
  <si>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</si>
  <si>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</si>
  <si>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</si>
  <si>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</si>
  <si>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</si>
  <si>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</si>
  <si>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</si>
  <si>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</si>
  <si>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</si>
  <si>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</si>
  <si>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</si>
  <si>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</si>
  <si>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</si>
  <si>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</si>
  <si>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</si>
  <si>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</si>
  <si>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</si>
  <si>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</si>
  <si>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</si>
  <si>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</si>
  <si>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</si>
  <si>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</si>
  <si>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</si>
  <si>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</si>
  <si>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</si>
  <si>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</si>
  <si>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</si>
  <si>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</si>
  <si>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</si>
  <si>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</si>
  <si>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</si>
  <si>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</si>
  <si>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</si>
  <si>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</si>
  <si>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</si>
  <si>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</si>
  <si>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</si>
  <si>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</si>
  <si>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</si>
  <si>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</si>
  <si>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</si>
  <si>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</si>
  <si>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</si>
  <si>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</si>
  <si>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</si>
  <si>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</si>
  <si>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</si>
  <si>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</si>
  <si>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</si>
  <si>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</si>
  <si>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</si>
  <si>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</si>
  <si>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</si>
  <si>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</si>
  <si>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</si>
  <si>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</si>
  <si>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</si>
  <si>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</si>
  <si>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</si>
  <si>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</si>
  <si>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</si>
  <si>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</si>
  <si>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</si>
  <si>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</si>
  <si>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</si>
  <si>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</si>
  <si>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</si>
  <si>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</si>
  <si>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</si>
  <si>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</si>
  <si>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</si>
  <si>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</si>
  <si>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</si>
  <si>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</si>
  <si>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</si>
  <si>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</si>
  <si>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</si>
  <si>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</si>
  <si>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</si>
  <si>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</si>
  <si>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</si>
  <si>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</si>
  <si>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</si>
  <si>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</si>
  <si>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</si>
  <si>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</si>
  <si>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</si>
  <si>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</si>
  <si>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</si>
  <si>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</si>
  <si>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</si>
  <si>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</si>
  <si>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</si>
  <si>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</si>
  <si>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</si>
  <si>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</si>
  <si>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</si>
  <si>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</si>
  <si>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</si>
  <si>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</si>
  <si>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</si>
  <si>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</si>
  <si>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</si>
  <si>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</si>
  <si>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</si>
  <si>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</si>
  <si>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</si>
  <si>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</si>
  <si>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</si>
  <si>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</si>
  <si>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</si>
  <si>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</si>
  <si>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</si>
  <si>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</si>
  <si>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</si>
  <si>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</si>
  <si>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</si>
  <si>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</si>
  <si>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</si>
  <si>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</si>
  <si>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</si>
  <si>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</si>
  <si>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</si>
  <si>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</si>
  <si>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</si>
  <si>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</si>
  <si>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</si>
  <si>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</si>
  <si>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</si>
  <si>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</si>
  <si>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</si>
  <si>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</si>
  <si>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</si>
  <si>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</si>
  <si>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</si>
  <si>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</si>
  <si>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</si>
  <si>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</si>
  <si>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</si>
  <si>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</si>
  <si>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</si>
  <si>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</si>
  <si>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</si>
  <si>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</si>
  <si>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</si>
  <si>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</si>
  <si>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</si>
  <si>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</si>
  <si>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</si>
  <si>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</si>
  <si>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</si>
  <si>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</si>
  <si>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</si>
  <si>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</si>
  <si>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</si>
  <si>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</si>
  <si>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</si>
  <si>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</si>
  <si>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</si>
  <si>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</si>
  <si>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</si>
  <si>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</si>
  <si>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</si>
  <si>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</si>
  <si>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</si>
  <si>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</si>
  <si>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</si>
  <si>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</si>
  <si>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</si>
  <si>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</si>
  <si>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</si>
  <si>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</si>
  <si>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</si>
  <si>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</si>
  <si>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</si>
  <si>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</si>
  <si>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</si>
  <si>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</si>
  <si>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</si>
  <si>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</si>
  <si>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</si>
  <si>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</si>
  <si>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</si>
  <si>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</si>
  <si>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</si>
  <si>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</si>
  <si>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</si>
  <si>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</si>
  <si>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</si>
  <si>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</si>
  <si>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</si>
  <si>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</si>
  <si>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</si>
  <si>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</si>
  <si>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</si>
  <si>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</si>
  <si>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</si>
  <si>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</si>
  <si>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</si>
  <si>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</si>
  <si>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</si>
  <si>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</si>
  <si>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</si>
  <si>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</si>
  <si>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</si>
  <si>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</si>
  <si>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</si>
  <si>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</si>
  <si>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</si>
  <si>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</si>
  <si>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</si>
  <si>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</si>
  <si>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</si>
  <si>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</si>
  <si>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</si>
  <si>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</si>
  <si>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</si>
  <si>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</si>
  <si>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</si>
  <si>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</si>
  <si>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</si>
  <si>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</si>
  <si>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</si>
  <si>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</si>
  <si>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</si>
  <si>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</si>
  <si>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</si>
  <si>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</si>
  <si>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</si>
  <si>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</si>
  <si>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</si>
  <si>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</si>
  <si>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</si>
  <si>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</si>
  <si>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</si>
  <si>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</si>
  <si>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</si>
  <si>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</si>
  <si>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</si>
  <si>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</si>
  <si>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</si>
  <si>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</si>
  <si>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</si>
  <si>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</si>
  <si>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</si>
  <si>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</si>
  <si>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</si>
  <si>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</si>
  <si>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</si>
  <si>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</si>
  <si>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</si>
  <si>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</si>
  <si>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</si>
  <si>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</si>
  <si>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</si>
  <si>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</si>
  <si>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</si>
  <si>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</si>
  <si>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</si>
  <si>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</si>
  <si>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</si>
  <si>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</si>
  <si>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</si>
  <si>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</si>
  <si>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</si>
  <si>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</si>
  <si>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</si>
  <si>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</si>
  <si>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</si>
  <si>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</si>
  <si>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</si>
  <si>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</si>
  <si>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</si>
  <si>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</si>
  <si>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</si>
  <si>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</si>
  <si>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</si>
  <si>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</si>
  <si>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</si>
  <si>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</si>
  <si>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</si>
  <si>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</si>
  <si>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</si>
  <si>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</si>
  <si>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</si>
  <si>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</si>
  <si>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</si>
  <si>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</si>
  <si>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</si>
  <si>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</si>
  <si>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</si>
  <si>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</si>
  <si>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</si>
  <si>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</si>
  <si>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</si>
  <si>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</si>
  <si>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</si>
  <si>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</si>
  <si>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</si>
  <si>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</si>
  <si>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</si>
  <si>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</si>
  <si>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</si>
  <si>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</si>
  <si>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</si>
  <si>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</si>
  <si>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</si>
  <si>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</si>
  <si>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</si>
  <si>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</si>
  <si>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</si>
  <si>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</si>
  <si>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</si>
  <si>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</si>
  <si>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</si>
  <si>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</si>
  <si>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</si>
  <si>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</si>
  <si>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</si>
  <si>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</si>
  <si>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</si>
  <si>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</si>
  <si>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</si>
  <si>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</si>
  <si>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</si>
  <si>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</si>
  <si>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</si>
  <si>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</si>
  <si>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</si>
  <si>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</si>
  <si>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</si>
  <si>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</si>
  <si>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</si>
  <si>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</si>
  <si>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</si>
  <si>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</si>
  <si>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</si>
  <si>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</si>
  <si>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</si>
  <si>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</si>
  <si>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</si>
  <si>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</si>
  <si>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</si>
  <si>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</si>
  <si>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</si>
  <si>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</si>
  <si>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</si>
  <si>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</si>
  <si>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</si>
  <si>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</si>
  <si>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</si>
  <si>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</si>
  <si>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</si>
  <si>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</si>
  <si>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</si>
  <si>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</si>
  <si>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</si>
  <si>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</si>
  <si>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</si>
  <si>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</si>
  <si>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</si>
  <si>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</si>
  <si>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</si>
  <si>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</si>
  <si>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</si>
  <si>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</si>
  <si>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</si>
  <si>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</si>
  <si>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</si>
  <si>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</si>
  <si>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</si>
  <si>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</si>
  <si>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</si>
  <si>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</si>
  <si>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</si>
  <si>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</si>
  <si>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</si>
  <si>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</si>
  <si>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</si>
  <si>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</si>
  <si>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</si>
  <si>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</si>
  <si>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</si>
  <si>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</si>
  <si>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</si>
  <si>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</si>
  <si>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</si>
  <si>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</si>
  <si>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</si>
  <si>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</si>
  <si>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</si>
  <si>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</si>
  <si>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</si>
  <si>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</si>
  <si>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</si>
  <si>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</si>
  <si>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</si>
  <si>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</si>
  <si>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</si>
  <si>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</si>
  <si>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</si>
  <si>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</si>
  <si>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</si>
  <si>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</si>
  <si>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</si>
  <si>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</si>
  <si>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</si>
  <si>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</si>
  <si>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</si>
  <si>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</si>
  <si>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</si>
  <si>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</si>
  <si>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</si>
  <si>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</si>
  <si>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</si>
  <si>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</si>
  <si>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</si>
  <si>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</si>
  <si>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</si>
  <si>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</si>
  <si>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</si>
  <si>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</si>
  <si>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</si>
  <si>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</si>
  <si>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</si>
  <si>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</si>
  <si>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</si>
  <si>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</si>
  <si>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</si>
  <si>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</si>
  <si>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</si>
  <si>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</si>
  <si>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</si>
  <si>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</si>
  <si>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</si>
  <si>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</si>
  <si>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</si>
  <si>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</si>
  <si>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</si>
  <si>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</si>
  <si>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</si>
  <si>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</si>
  <si>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</si>
  <si>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</si>
  <si>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</si>
  <si>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</si>
  <si>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</si>
  <si>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</si>
  <si>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</si>
  <si>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</si>
  <si>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</si>
  <si>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</si>
  <si>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</si>
  <si>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</si>
  <si>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</si>
  <si>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</si>
  <si>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</si>
  <si>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</si>
  <si>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</si>
  <si>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</si>
  <si>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</si>
  <si>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</si>
  <si>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</si>
  <si>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</si>
  <si>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</si>
  <si>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</si>
  <si>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</si>
  <si>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</si>
  <si>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</si>
  <si>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</si>
  <si>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</si>
  <si>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</si>
  <si>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</si>
  <si>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</si>
  <si>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</si>
  <si>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</si>
  <si>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</si>
  <si>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</si>
  <si>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</si>
  <si>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</si>
  <si>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</si>
  <si>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</si>
  <si>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</si>
  <si>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</si>
  <si>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</si>
  <si>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</si>
  <si>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</si>
  <si>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</si>
  <si>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</si>
  <si>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</si>
  <si>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</si>
  <si>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</si>
  <si>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</si>
  <si>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</si>
  <si>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</si>
  <si>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</si>
  <si>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</si>
  <si>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</si>
  <si>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</si>
  <si>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</si>
  <si>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</si>
  <si>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</si>
  <si>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</si>
  <si>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</si>
  <si>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</si>
  <si>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</si>
  <si>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</si>
  <si>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</si>
  <si>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</si>
  <si>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</si>
  <si>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</si>
  <si>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</si>
  <si>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</si>
  <si>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</si>
  <si>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</si>
  <si>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</si>
  <si>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</si>
  <si>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</si>
  <si>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</si>
  <si>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</si>
  <si>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</si>
  <si>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</si>
  <si>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</si>
  <si>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</si>
  <si>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</si>
  <si>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</si>
  <si>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</si>
  <si>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</si>
  <si>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</si>
  <si>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</si>
  <si>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</si>
  <si>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</si>
  <si>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</si>
  <si>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</si>
  <si>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</si>
  <si>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</si>
  <si>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</si>
  <si>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</si>
  <si>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</si>
  <si>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</si>
  <si>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</si>
  <si>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</si>
  <si>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</si>
  <si>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</si>
  <si>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</si>
  <si>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</si>
  <si>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</si>
  <si>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</si>
  <si>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</si>
  <si>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</si>
  <si>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</si>
  <si>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</si>
  <si>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</si>
  <si>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</si>
  <si>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</si>
  <si>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</si>
  <si>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</si>
  <si>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</si>
  <si>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</si>
  <si>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</si>
  <si>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</si>
  <si>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</si>
  <si>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</si>
  <si>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</si>
  <si>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</si>
  <si>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</si>
  <si>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</si>
  <si>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</si>
  <si>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</si>
  <si>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</si>
  <si>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</si>
  <si>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</si>
  <si>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</si>
  <si>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</si>
  <si>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</si>
  <si>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</si>
  <si>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</si>
  <si>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</si>
  <si>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</si>
  <si>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</si>
  <si>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</si>
  <si>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</si>
  <si>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</si>
  <si>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</si>
  <si>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</si>
  <si>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</si>
  <si>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</si>
  <si>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</si>
  <si>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</si>
  <si>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</si>
  <si>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</si>
  <si>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</si>
  <si>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</si>
  <si>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</si>
  <si>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</si>
  <si>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</si>
  <si>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</si>
  <si>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</si>
  <si>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</si>
  <si>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</si>
  <si>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</si>
  <si>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</si>
  <si>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</si>
  <si>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</si>
  <si>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</si>
  <si>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</si>
  <si>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</si>
  <si>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</si>
  <si>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</si>
  <si>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</si>
  <si>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</si>
  <si>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</si>
  <si>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</si>
  <si>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</si>
  <si>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</si>
  <si>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</si>
  <si>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</si>
  <si>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</si>
  <si>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</si>
  <si>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</si>
  <si>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</si>
  <si>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</si>
  <si>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</si>
  <si>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</si>
  <si>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</si>
  <si>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</si>
  <si>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</si>
  <si>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</si>
  <si>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</si>
  <si>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</si>
  <si>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</si>
  <si>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</si>
  <si>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</si>
  <si>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</si>
  <si>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</si>
  <si>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</si>
  <si>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</si>
  <si>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</si>
  <si>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</si>
  <si>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</si>
  <si>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</si>
  <si>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</si>
  <si>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</si>
  <si>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</si>
  <si>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</si>
  <si>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地上</t>
  </si>
  <si>
    <t>七通一平</t>
  </si>
  <si>
    <t>剩余土地使用年限（设定）</t>
  </si>
  <si>
    <t>设定容积率</t>
  </si>
  <si>
    <t>较好</t>
  </si>
  <si>
    <t>郊区</t>
  </si>
  <si>
    <t>2009-2</t>
  </si>
  <si>
    <t>居住用地（指二类居住用地）</t>
  </si>
  <si>
    <t>四环路外</t>
  </si>
  <si>
    <t>扣毛地价</t>
  </si>
  <si>
    <t>较差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</si>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</sst>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2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2"/>
      <c r="B19" s="1802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2"/>
      <c r="B24" s="1802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2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2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2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2"/>
      <c r="B36" s="1802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23" sqref="E23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126.61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2" t="s">
        <v>1787</v>
      </c>
      <c r="J2" s="717"/>
      <c r="AE2" s="712"/>
      <c r="AF2" s="712"/>
    </row>
    <row r="3" spans="1:36" ht="24">
      <c r="A3" s="668" t="s">
        <v>913</v>
      </c>
      <c r="B3" s="1399">
        <f>C18</f>
        <v>5937</v>
      </c>
      <c r="C3" s="713" t="s">
        <v>914</v>
      </c>
      <c r="D3" s="714" t="s">
        <v>253</v>
      </c>
      <c r="E3" s="718" t="s">
        <v>1794</v>
      </c>
      <c r="F3" s="1460" t="s">
        <v>1790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0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1440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1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3.7787999999999999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41443</v>
      </c>
      <c r="I9" s="1518">
        <f>ROUND(SUMPRODUCT((地价!A31:A81=YEAR(H9)&amp;"-"&amp;ROUNDUP(MONTH(H9)/3,0))*(地价!B3:F3=E2)*(地价!B31:F81)),0)</f>
        <v>393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1789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</v>
      </c>
      <c r="D11" s="1488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</v>
      </c>
      <c r="E12" s="1479">
        <f>ROUNDDOWN(G3,1)</f>
        <v>2</v>
      </c>
      <c r="F12" s="1480">
        <f>IF(G3&lt;=10,SUMPRODUCT(('2002容积率修正'!A3:A102=E12)*('2002容积率修正'!B2:D2=E2)*('2002容积率修正'!B3:D102)),"——")</f>
        <v>1</v>
      </c>
      <c r="G12" s="1478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</v>
      </c>
      <c r="E13" s="1479">
        <f>ROUNDDOWN(G3,1)</f>
        <v>2</v>
      </c>
      <c r="F13" s="1480">
        <f>IF(G3&lt;=10,SUMPRODUCT(('2002容积率修正'!A3:A102=E13)*('2002容积率修正'!E2:G2=E2)*('2002容积率修正'!E3:G102)),"——")</f>
        <v>0.85</v>
      </c>
      <c r="G13" s="1478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1.091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1788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5937</v>
      </c>
      <c r="D18" s="630">
        <f>H1</f>
        <v>126.61</v>
      </c>
      <c r="E18" s="631">
        <f>ROUND(C18*D18,0)</f>
        <v>751684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11873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126.61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0</v>
      </c>
      <c r="D22" s="776" t="s">
        <v>1795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1793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1.89E-2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1.72E-2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1.72E-2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9">
        <f>'地价（废）'!O2</f>
        <v>1.95E-2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1.8499999999999999E-2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1.091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1791</v>
      </c>
      <c r="D60" s="490">
        <f t="shared" ref="D60:D67" si="7">SUMIF($F$59:$J$59,C60,F60:J60)</f>
        <v>1.2999999999999999E-2</v>
      </c>
      <c r="E60" s="253">
        <f>SUM(D60:D67)</f>
        <v>9.0999999999999998E-2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1791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1791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1797</v>
      </c>
      <c r="D63" s="490">
        <f t="shared" si="7"/>
        <v>-1.2999999999999999E-2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1791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1791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1791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1" sqref="M1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3" t="s">
        <v>1424</v>
      </c>
      <c r="E2" s="1827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4"/>
      <c r="E3" s="1828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4"/>
      <c r="E4" s="1828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5"/>
      <c r="E5" s="1829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23" t="s">
        <v>1425</v>
      </c>
      <c r="E6" s="1827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六类</v>
      </c>
      <c r="C7" s="703"/>
      <c r="D7" s="1824"/>
      <c r="E7" s="1828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25"/>
      <c r="E8" s="1829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126.61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3" t="s">
        <v>1403</v>
      </c>
      <c r="E10" s="1827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26"/>
      <c r="E11" s="1830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0.98040000000000005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60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126.61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126.61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3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48"/>
      <c r="M4" s="449"/>
      <c r="N4" s="449"/>
      <c r="O4" s="449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227</v>
      </c>
      <c r="D5" s="1870"/>
      <c r="E5" s="1867" t="s">
        <v>228</v>
      </c>
      <c r="F5" s="1868"/>
      <c r="G5" s="1869" t="s">
        <v>231</v>
      </c>
      <c r="H5" s="1870"/>
      <c r="I5" s="1869" t="s">
        <v>229</v>
      </c>
      <c r="J5" s="1870"/>
      <c r="K5" s="142"/>
      <c r="L5" s="448"/>
      <c r="M5" s="449"/>
      <c r="N5" s="449"/>
      <c r="O5" s="449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230</v>
      </c>
      <c r="D6" s="1872"/>
      <c r="E6" s="1873" t="s">
        <v>230</v>
      </c>
      <c r="F6" s="1874"/>
      <c r="G6" s="1871" t="s">
        <v>230</v>
      </c>
      <c r="H6" s="1872"/>
      <c r="I6" s="1871" t="s">
        <v>230</v>
      </c>
      <c r="J6" s="1872"/>
      <c r="K6" s="142" t="s">
        <v>97</v>
      </c>
      <c r="L6" s="448"/>
      <c r="M6" s="449"/>
      <c r="N6" s="449"/>
      <c r="O6" s="449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45">
        <f>主表!B4</f>
        <v>41443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六级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52"/>
      <c r="Q30" s="497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2013-6-1</v>
      </c>
      <c r="D56" s="1534">
        <f>EDATE(C56,-3)</f>
        <v>41334</v>
      </c>
      <c r="E56" s="1534">
        <f t="shared" ref="E56:O56" si="15">EDATE(D56,-3)</f>
        <v>41244</v>
      </c>
      <c r="F56" s="1534">
        <f t="shared" si="15"/>
        <v>41153</v>
      </c>
      <c r="G56" s="1534">
        <f t="shared" si="15"/>
        <v>41061</v>
      </c>
      <c r="H56" s="1534">
        <f t="shared" si="15"/>
        <v>40969</v>
      </c>
      <c r="I56" s="1534">
        <f t="shared" si="15"/>
        <v>40878</v>
      </c>
      <c r="J56" s="1534">
        <f t="shared" si="15"/>
        <v>40787</v>
      </c>
      <c r="K56" s="1534">
        <f t="shared" si="15"/>
        <v>40695</v>
      </c>
      <c r="L56" s="1534">
        <f t="shared" si="15"/>
        <v>40603</v>
      </c>
      <c r="M56" s="1534">
        <f t="shared" si="15"/>
        <v>40513</v>
      </c>
      <c r="N56" s="1534">
        <f t="shared" si="15"/>
        <v>40422</v>
      </c>
      <c r="O56" s="1534">
        <f t="shared" si="15"/>
        <v>40330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2013-2</v>
      </c>
      <c r="D58" s="1533" t="str">
        <f t="shared" ref="D58:O58" si="16">YEAR(D56)&amp;"-"&amp;ROUNDUP(MONTH(D56)/3,0)</f>
        <v>2013-1</v>
      </c>
      <c r="E58" s="1533" t="str">
        <f t="shared" si="16"/>
        <v>2012-4</v>
      </c>
      <c r="F58" s="1533" t="str">
        <f t="shared" si="16"/>
        <v>2012-3</v>
      </c>
      <c r="G58" s="1533" t="str">
        <f t="shared" si="16"/>
        <v>2012-2</v>
      </c>
      <c r="H58" s="1533" t="str">
        <f t="shared" si="16"/>
        <v>2012-1</v>
      </c>
      <c r="I58" s="1533" t="str">
        <f t="shared" si="16"/>
        <v>2011-4</v>
      </c>
      <c r="J58" s="1533" t="str">
        <f t="shared" si="16"/>
        <v>2011-3</v>
      </c>
      <c r="K58" s="1533" t="str">
        <f t="shared" si="16"/>
        <v>2011-2</v>
      </c>
      <c r="L58" s="1533" t="str">
        <f t="shared" si="16"/>
        <v>2011-1</v>
      </c>
      <c r="M58" s="1533" t="str">
        <f t="shared" si="16"/>
        <v>2010-4</v>
      </c>
      <c r="N58" s="1533" t="str">
        <f t="shared" si="16"/>
        <v>2010-3</v>
      </c>
      <c r="O58" s="1533" t="str">
        <f t="shared" si="16"/>
        <v>2010-2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41443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6.1500000000000006E-2</v>
      </c>
      <c r="H1" s="970" t="s">
        <v>1508</v>
      </c>
      <c r="I1" s="971">
        <f ca="1">SUMIF(F4:F8,E1,G4:G8)/100</f>
        <v>3.7499999999999999E-2</v>
      </c>
      <c r="J1" s="1139">
        <f>IF(C1&gt;C14,0,MATCH(C1,C$14:C$59,-1))+IF(SUMIF(C14:C59,C1,D14:D59)=0,14,13)</f>
        <v>20</v>
      </c>
      <c r="K1" s="1139">
        <f>MATCH(E1,C4:C8,1)+IF(SUMIF(C4:C8,E1,D4:D8)=0,3,2)</f>
        <v>6</v>
      </c>
      <c r="L1" s="1139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41443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20</v>
      </c>
      <c r="K2" s="1139">
        <f ca="1">MATCH(E2,C4:C8,1)+IF(SUMIF(C4:C8,E2,D4:D8)=0,3,2)</f>
        <v>3</v>
      </c>
      <c r="L2" s="1139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5.6</v>
      </c>
      <c r="E4" s="1006">
        <f ca="1">INDIRECT("d"&amp;$J$2)</f>
        <v>5.6</v>
      </c>
      <c r="F4" s="1007">
        <v>0.5</v>
      </c>
      <c r="G4" s="1008">
        <f ca="1">INDIRECT("p"&amp;$L$1)</f>
        <v>2.8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9">
        <f ca="1">INDIRECT("q"&amp;$L$1)</f>
        <v>3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9">
        <f ca="1">INDIRECT("r"&amp;$L$1)</f>
        <v>3.75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9">
        <f ca="1">INDIRECT("s"&amp;$L$1)</f>
        <v>4.25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9">
        <f ca="1">INDIRECT("t"&amp;$L$1)</f>
        <v>4.75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3" t="s">
        <v>1637</v>
      </c>
      <c r="H2" s="1883"/>
      <c r="I2" s="1883"/>
      <c r="J2" s="1883"/>
      <c r="K2" s="1883"/>
      <c r="L2" s="1883"/>
      <c r="N2" s="1878" t="s">
        <v>1638</v>
      </c>
      <c r="O2" s="1878"/>
      <c r="P2" s="1878"/>
      <c r="Q2" s="1878"/>
      <c r="S2" s="1878" t="s">
        <v>1639</v>
      </c>
      <c r="T2" s="1878"/>
      <c r="U2" s="1878"/>
      <c r="V2" s="1878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6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6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6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4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9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6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6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4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9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6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6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7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5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6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6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7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5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6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6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7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80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1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1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2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5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6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6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7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5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6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6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7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5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6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6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7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5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6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6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7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5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6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6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7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5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6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6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7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5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6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6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7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5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6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6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7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5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6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6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7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5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6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6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7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5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6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6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7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2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46</v>
      </c>
      <c r="N1" s="1410" t="s">
        <v>1633</v>
      </c>
      <c r="O1" s="1424" t="str">
        <f>'2002基准地价'!C25</f>
        <v>2009-2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1.89E-2</v>
      </c>
      <c r="M2" s="28">
        <f>ROUND(SUMIF($A$17:$A$67,$O$1,M17:M67),4)</f>
        <v>1.72E-2</v>
      </c>
      <c r="N2" s="28">
        <f>ROUND(SUMIF($A$17:$A$67,$O$1,N17:N67),4)</f>
        <v>1.72E-2</v>
      </c>
      <c r="O2" s="28">
        <f>ROUND(SUMIF($A$17:$A$67,$O$1,O17:O67),4)</f>
        <v>1.95E-2</v>
      </c>
      <c r="P2" s="28">
        <f>ROUND(SUMIF($A$17:$A$67,$O$1,P17:P67),4)</f>
        <v>1.8499999999999999E-2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7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 ht="37.5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126.61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41443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126.61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55" t="s">
        <v>1353</v>
      </c>
      <c r="B2" s="1755"/>
      <c r="C2" s="1755"/>
      <c r="D2" s="1755"/>
      <c r="E2" s="1755"/>
      <c r="F2" s="1755"/>
      <c r="G2" s="1755"/>
      <c r="H2" s="1745"/>
      <c r="I2" s="1744"/>
      <c r="X2" s="221"/>
      <c r="AG2" s="189"/>
    </row>
    <row r="3" spans="1:33" ht="13.5">
      <c r="A3" s="1756" t="s">
        <v>1354</v>
      </c>
      <c r="B3" s="1757"/>
      <c r="C3" s="1758"/>
      <c r="D3" s="1759" t="s">
        <v>1355</v>
      </c>
      <c r="E3" s="1757"/>
      <c r="F3" s="1757"/>
      <c r="G3" s="1760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61" t="s">
        <v>1356</v>
      </c>
      <c r="E4" s="1762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63" t="s">
        <v>1360</v>
      </c>
      <c r="B5" s="1764">
        <f>主表!F5</f>
        <v>5937</v>
      </c>
      <c r="C5" s="1765" t="s">
        <v>1361</v>
      </c>
      <c r="D5" s="1762" t="s">
        <v>1362</v>
      </c>
      <c r="E5" s="1766"/>
      <c r="F5" s="1297">
        <f>SUM(F6:F10)</f>
        <v>0</v>
      </c>
      <c r="G5" s="1298" t="s">
        <v>1635</v>
      </c>
      <c r="H5" s="1745"/>
      <c r="I5" s="1744"/>
      <c r="X5" s="221"/>
      <c r="AG5" s="189"/>
    </row>
    <row r="6" spans="1:33" ht="27">
      <c r="A6" s="1763"/>
      <c r="B6" s="1764"/>
      <c r="C6" s="1765"/>
      <c r="D6" s="1767" t="s">
        <v>1383</v>
      </c>
      <c r="E6" s="1297" t="s">
        <v>1363</v>
      </c>
      <c r="F6" s="1297">
        <f>主表!F14</f>
        <v>0</v>
      </c>
      <c r="G6" s="1298" t="s">
        <v>1364</v>
      </c>
      <c r="H6" s="1745"/>
      <c r="I6" s="1744"/>
      <c r="X6" s="221"/>
      <c r="AG6" s="189"/>
    </row>
    <row r="7" spans="1:33" ht="13.5">
      <c r="A7" s="1763"/>
      <c r="B7" s="1764"/>
      <c r="C7" s="1765"/>
      <c r="D7" s="1767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63"/>
      <c r="B8" s="1764"/>
      <c r="C8" s="1765"/>
      <c r="D8" s="1768" t="s">
        <v>1384</v>
      </c>
      <c r="E8" s="1769"/>
      <c r="F8" s="1297">
        <f>主表!F16</f>
        <v>0</v>
      </c>
      <c r="G8" s="1298" t="str">
        <f>"按建安工程费的"&amp;TEXT(主表!G16,"0.0%")&amp;"计取"</f>
        <v>按建安工程费的0.0%计取</v>
      </c>
      <c r="H8" s="1745"/>
      <c r="I8" s="1744"/>
      <c r="X8" s="221"/>
      <c r="AG8" s="189"/>
    </row>
    <row r="9" spans="1:33" ht="13.5">
      <c r="A9" s="1763"/>
      <c r="B9" s="1764"/>
      <c r="C9" s="1765"/>
      <c r="D9" s="1768" t="s">
        <v>1385</v>
      </c>
      <c r="E9" s="1769"/>
      <c r="F9" s="1297">
        <f>主表!F18</f>
        <v>0</v>
      </c>
      <c r="G9" s="1298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63"/>
      <c r="B10" s="1764"/>
      <c r="C10" s="1765"/>
      <c r="D10" s="1768" t="s">
        <v>1386</v>
      </c>
      <c r="E10" s="1769"/>
      <c r="F10" s="1297">
        <f>主表!F19</f>
        <v>0</v>
      </c>
      <c r="G10" s="1298" t="str">
        <f>"按建安工程费的"&amp;TEXT(主表!G19,"0.0%")&amp;"计取"</f>
        <v>按建安工程费的0.0%计取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0</v>
      </c>
      <c r="C11" s="1299" t="str">
        <f>"按前期开发成本的"&amp;TEXT(主表!G8,"0.0%")&amp;"计取"</f>
        <v>按前期开发成本的0.0%计取</v>
      </c>
      <c r="D11" s="1762" t="s">
        <v>1367</v>
      </c>
      <c r="E11" s="1766"/>
      <c r="F11" s="1297">
        <f>主表!F20</f>
        <v>0</v>
      </c>
      <c r="G11" s="1298" t="str">
        <f>"按房屋建设成本的"&amp;主表!G20&amp;"计取"</f>
        <v>按房屋建设成本的计取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62" t="s">
        <v>1369</v>
      </c>
      <c r="E12" s="1766"/>
      <c r="F12" s="1297">
        <f ca="1">主表!F21</f>
        <v>0</v>
      </c>
      <c r="G12" s="1298" t="str">
        <f ca="1">"房屋建设期为"&amp;主表!B23&amp;"年，贷款利率为"&amp;TEXT(主表!G21,"0.00%")&amp;"，"&amp;主表!H21</f>
        <v>房屋建设期为2年，贷款利率为6.15%，计息期为2年，复利计息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2" t="s">
        <v>1370</v>
      </c>
      <c r="E13" s="1766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5937</v>
      </c>
      <c r="C14" s="1300" t="s">
        <v>1372</v>
      </c>
      <c r="D14" s="1762" t="s">
        <v>1371</v>
      </c>
      <c r="E14" s="1766"/>
      <c r="F14" s="1297">
        <f ca="1">F5+F11+F12+F13</f>
        <v>0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64">
        <f ca="1">主表!F24</f>
        <v>5937</v>
      </c>
      <c r="C15" s="1770"/>
      <c r="D15" s="1768" t="s">
        <v>1374</v>
      </c>
      <c r="E15" s="1769"/>
      <c r="F15" s="1769"/>
      <c r="G15" s="1771"/>
      <c r="H15" s="1745"/>
      <c r="I15" s="1744"/>
      <c r="X15" s="221"/>
      <c r="AG15" s="189"/>
    </row>
    <row r="16" spans="1:33" ht="27.75" thickBot="1">
      <c r="A16" s="1293" t="s">
        <v>1375</v>
      </c>
      <c r="B16" s="1764">
        <f ca="1">主表!F25</f>
        <v>75.168400000000005</v>
      </c>
      <c r="C16" s="1770"/>
      <c r="D16" s="1768" t="s">
        <v>1376</v>
      </c>
      <c r="E16" s="1769"/>
      <c r="F16" s="1769"/>
      <c r="G16" s="1771"/>
      <c r="H16" s="1302" t="str">
        <f ca="1">NUMBERSTRING(INT(B16*10000),2)&amp;"元整"</f>
        <v>柒拾伍万壹仟陆佰捌拾肆元整</v>
      </c>
      <c r="I16" s="1303"/>
      <c r="X16" s="221"/>
      <c r="AG16" s="189"/>
    </row>
    <row r="17" spans="1:33" ht="13.5">
      <c r="A17" s="1293" t="s">
        <v>1377</v>
      </c>
      <c r="B17" s="1777">
        <f>主表!F33</f>
        <v>0</v>
      </c>
      <c r="C17" s="1770"/>
      <c r="D17" s="1768" t="s">
        <v>1378</v>
      </c>
      <c r="E17" s="1769"/>
      <c r="F17" s="1769"/>
      <c r="G17" s="1771"/>
      <c r="H17" s="1745"/>
      <c r="I17" s="1744"/>
      <c r="X17" s="221"/>
      <c r="AG17" s="189"/>
    </row>
    <row r="18" spans="1:33" ht="27.75" thickBot="1">
      <c r="A18" s="1293" t="s">
        <v>1379</v>
      </c>
      <c r="B18" s="1764">
        <f ca="1">主表!F35</f>
        <v>0</v>
      </c>
      <c r="C18" s="1770"/>
      <c r="D18" s="1768" t="s">
        <v>1380</v>
      </c>
      <c r="E18" s="1769"/>
      <c r="F18" s="1769"/>
      <c r="G18" s="1771"/>
      <c r="H18" s="1745"/>
      <c r="I18" s="1744"/>
      <c r="X18" s="221"/>
      <c r="AG18" s="189"/>
    </row>
    <row r="19" spans="1:33" ht="27.75" thickBot="1">
      <c r="A19" s="1301" t="s">
        <v>1381</v>
      </c>
      <c r="B19" s="1772">
        <f ca="1">主表!F36</f>
        <v>0</v>
      </c>
      <c r="C19" s="1773"/>
      <c r="D19" s="1774" t="s">
        <v>1382</v>
      </c>
      <c r="E19" s="1775"/>
      <c r="F19" s="1775"/>
      <c r="G19" s="1776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7" sqref="B27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3" t="s">
        <v>1275</v>
      </c>
      <c r="E2" s="1784"/>
      <c r="F2" s="1784"/>
      <c r="G2" s="1784"/>
      <c r="H2" s="1785"/>
      <c r="I2" s="1166"/>
      <c r="J2" s="1166"/>
      <c r="K2" s="1213"/>
      <c r="L2" s="1213"/>
      <c r="N2" s="501" t="s">
        <v>1153</v>
      </c>
      <c r="O2" s="484">
        <f>SUMPRODUCT((N6:N12=B20)*(O5:Q5=B21)*(O6:Q12))</f>
        <v>50</v>
      </c>
    </row>
    <row r="3" spans="1:18" ht="15.75" customHeight="1">
      <c r="A3" s="1180" t="s">
        <v>1775</v>
      </c>
      <c r="B3" s="1566">
        <v>41443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8</v>
      </c>
    </row>
    <row r="4" spans="1:18" ht="15.75" customHeight="1">
      <c r="A4" s="1192" t="s">
        <v>1776</v>
      </c>
      <c r="B4" s="1566">
        <f>B3</f>
        <v>41443</v>
      </c>
      <c r="C4" s="1165"/>
      <c r="D4" s="1172" t="s">
        <v>1276</v>
      </c>
      <c r="E4" s="1173" t="s">
        <v>1569</v>
      </c>
      <c r="F4" s="1174">
        <f ca="1">F5+F8+F9+F10</f>
        <v>5937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0.02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5937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5937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126.61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89"/>
      <c r="H7" s="1346" t="s">
        <v>1796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0</v>
      </c>
      <c r="G8" s="646"/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2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34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 t="s">
        <v>604</v>
      </c>
      <c r="C11" s="1165"/>
      <c r="D11" s="1205" t="s">
        <v>1282</v>
      </c>
      <c r="E11" s="1206" t="s">
        <v>1571</v>
      </c>
      <c r="F11" s="1174">
        <f ca="1">F12+F20+F21+F22</f>
        <v>0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/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60</v>
      </c>
      <c r="C15" s="1165"/>
      <c r="D15" s="1191" t="s">
        <v>1272</v>
      </c>
      <c r="E15" s="1192" t="s">
        <v>1235</v>
      </c>
      <c r="F15" s="505"/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70</v>
      </c>
      <c r="C16" s="1165"/>
      <c r="D16" s="1184" t="s">
        <v>1269</v>
      </c>
      <c r="E16" s="1192" t="s">
        <v>1236</v>
      </c>
      <c r="F16" s="1023">
        <f>ROUND(F13*G16,0)</f>
        <v>0</v>
      </c>
      <c r="G16" s="503"/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0.96699999999999997</v>
      </c>
      <c r="C18" s="1165"/>
      <c r="D18" s="1191" t="s">
        <v>1273</v>
      </c>
      <c r="E18" s="1192" t="s">
        <v>1283</v>
      </c>
      <c r="F18" s="1023">
        <f>ROUND(IF(B12="住宅/居住",F13*G18,0),0)</f>
        <v>0</v>
      </c>
      <c r="G18" s="503"/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0</v>
      </c>
      <c r="G19" s="503"/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1798</v>
      </c>
      <c r="C20" s="1165"/>
      <c r="D20" s="1191">
        <v>2</v>
      </c>
      <c r="E20" s="1192" t="s">
        <v>1227</v>
      </c>
      <c r="F20" s="1193">
        <f>ROUND(F12*G20,0)</f>
        <v>0</v>
      </c>
      <c r="G20" s="646"/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0</v>
      </c>
      <c r="G21" s="1384">
        <f ca="1">存贷款利率!G1</f>
        <v>6.1500000000000006E-2</v>
      </c>
      <c r="H21" s="1196" t="str">
        <f>"计息期为"&amp;B23&amp;"年，"&amp;"复利计息"</f>
        <v>计息期为2年，复利计息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2005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2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3">
        <f ca="1">F4+F11</f>
        <v>5937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75.168400000000005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6" t="s">
        <v>1277</v>
      </c>
      <c r="E26" s="1787"/>
      <c r="F26" s="1787"/>
      <c r="G26" s="1787"/>
      <c r="H26" s="1788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0.84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8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0.45</v>
      </c>
      <c r="H31" s="1230"/>
      <c r="I31" s="1778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0.35</v>
      </c>
      <c r="H32" s="1230"/>
      <c r="I32" s="1778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6" t="s">
        <v>1280</v>
      </c>
      <c r="E34" s="1787"/>
      <c r="F34" s="1787"/>
      <c r="G34" s="1787"/>
      <c r="H34" s="1788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9" t="s">
        <v>1257</v>
      </c>
      <c r="H35" s="1780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1" t="s">
        <v>1259</v>
      </c>
      <c r="H36" s="1782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126.61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 t="str">
        <f>主表!B11</f>
        <v>Ⅵ-昌2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13159</v>
      </c>
      <c r="D5" s="1541">
        <f>ROUND(C6+C16,0)</f>
        <v>9940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10060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10060</v>
      </c>
      <c r="N6" s="438">
        <f>SUMPRODUCT(('2014因素修正幅度'!B110:B157=I2)*('2014因素修正幅度'!C3:F3=E2)*('2014因素修正幅度'!C110:F157))</f>
        <v>0.11700000000000001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9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0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0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0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0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9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1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1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2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798" t="s">
        <v>928</v>
      </c>
      <c r="E16" s="1799"/>
      <c r="F16" s="1798" t="s">
        <v>926</v>
      </c>
      <c r="G16" s="1800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3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41443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0.99099999999999999</v>
      </c>
      <c r="D20" s="1468" t="s">
        <v>935</v>
      </c>
      <c r="E20" s="1469">
        <f ca="1">INDIRECT("'存贷款利率'!e"&amp;存贷款利率!$K$4)/100</f>
        <v>0.06</v>
      </c>
      <c r="F20" s="1466" t="s">
        <v>936</v>
      </c>
      <c r="G20" s="1470">
        <f ca="1">SUMIF(P18:S18,E2,P20:S20)</f>
        <v>6.9000000000000006E-2</v>
      </c>
      <c r="H20" s="1471" t="s">
        <v>1634</v>
      </c>
      <c r="I20" s="1024">
        <f>IF(H20="剩余土地使用年限",主表!B15,主表!B16)</f>
        <v>60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5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6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6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7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6.9000000000000006E-2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0.11700000000000001</v>
      </c>
      <c r="G70" s="491"/>
      <c r="H70" s="494">
        <f t="shared" ref="H70:H78" si="15">IFERROR($F$70*I70/2,"——")</f>
        <v>8.1900000000000011E-3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1.755E-2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4.6800000000000001E-3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2.3400000000000001E-3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4.6800000000000001E-3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7.0200000000000002E-3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2.9250000000000005E-3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8.7749999999999998E-3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2.3400000000000001E-3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4" t="s">
        <v>1159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653"/>
      <c r="L91" s="653"/>
      <c r="M91" s="653"/>
      <c r="N91" s="653"/>
    </row>
    <row r="92" spans="1:37">
      <c r="A92" s="1802" t="s">
        <v>1160</v>
      </c>
      <c r="B92" s="1802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3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4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4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4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4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4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4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4"/>
      <c r="B109" s="1806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5"/>
      <c r="B110" s="1807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1" t="s">
        <v>1175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10060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2021-03-22T03:13:13Z</dcterms:modified>
</cp:coreProperties>
</file>