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state="hidden"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37" i="21" l="1"/>
  <c r="I37" i="21"/>
  <c r="G37" i="21"/>
  <c r="E20" i="1"/>
  <c r="C33" i="21" l="1"/>
  <c r="E104" i="21" l="1"/>
  <c r="F104" i="21" s="1"/>
  <c r="G104" i="21" s="1"/>
  <c r="H104" i="21" s="1"/>
  <c r="D104" i="21"/>
  <c r="G93" i="21" l="1"/>
  <c r="H93" i="21" s="1"/>
  <c r="F93" i="21"/>
  <c r="C93" i="21"/>
  <c r="D93" i="21"/>
  <c r="F121" i="21"/>
  <c r="D121" i="21"/>
  <c r="E23" i="1"/>
  <c r="C9" i="4"/>
  <c r="C1" i="61" l="1"/>
  <c r="J1" i="61" s="1"/>
  <c r="B2" i="1"/>
  <c r="B13" i="1" s="1"/>
  <c r="I20" i="43"/>
  <c r="G19" i="43"/>
  <c r="D29" i="43"/>
  <c r="C8" i="11"/>
  <c r="C19" i="11"/>
  <c r="F30" i="1"/>
  <c r="B5" i="1"/>
  <c r="E18" i="1" s="1"/>
  <c r="D37" i="11"/>
  <c r="F50" i="11"/>
  <c r="C37" i="21"/>
  <c r="F37" i="21" s="1"/>
  <c r="D113" i="21"/>
  <c r="E113" i="21"/>
  <c r="F113" i="21"/>
  <c r="G113" i="21"/>
  <c r="F42" i="21"/>
  <c r="AA42" i="21"/>
  <c r="C120" i="21"/>
  <c r="D120" i="21"/>
  <c r="F41" i="21"/>
  <c r="AA41" i="21" s="1"/>
  <c r="C7" i="21"/>
  <c r="C58" i="21" s="1"/>
  <c r="R47" i="21"/>
  <c r="F32" i="21"/>
  <c r="AA32" i="21" s="1"/>
  <c r="H37" i="21"/>
  <c r="AB37" i="21" s="1"/>
  <c r="H41" i="21"/>
  <c r="AB41" i="21" s="1"/>
  <c r="T47" i="21"/>
  <c r="H32" i="21"/>
  <c r="AB32" i="21" s="1"/>
  <c r="J37" i="21"/>
  <c r="AC37" i="21" s="1"/>
  <c r="J42" i="21"/>
  <c r="AC42" i="21"/>
  <c r="J41" i="21"/>
  <c r="AC41" i="21" s="1"/>
  <c r="V47" i="21"/>
  <c r="J32" i="21"/>
  <c r="AC32" i="21" s="1"/>
  <c r="C17" i="9"/>
  <c r="D17" i="9"/>
  <c r="C5" i="66"/>
  <c r="E2" i="66" s="1"/>
  <c r="D101" i="21"/>
  <c r="J20" i="43"/>
  <c r="C16" i="43"/>
  <c r="D78" i="43"/>
  <c r="C18" i="43"/>
  <c r="F15" i="21"/>
  <c r="AA15" i="21"/>
  <c r="F17" i="21"/>
  <c r="AA17" i="21"/>
  <c r="F19" i="21"/>
  <c r="AA19" i="21"/>
  <c r="F21" i="21"/>
  <c r="AA21" i="21" s="1"/>
  <c r="F23" i="21"/>
  <c r="AA23" i="21"/>
  <c r="F28" i="21"/>
  <c r="AA28" i="21" s="1"/>
  <c r="F34" i="21"/>
  <c r="AA34" i="21" s="1"/>
  <c r="F35" i="21"/>
  <c r="AA35" i="21"/>
  <c r="C2" i="11"/>
  <c r="C2" i="21"/>
  <c r="D3" i="21"/>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s="1"/>
  <c r="B64" i="60" s="1"/>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s="1"/>
  <c r="B65" i="60" s="1"/>
  <c r="F110" i="9"/>
  <c r="B15" i="50"/>
  <c r="F116" i="57"/>
  <c r="A133" i="57"/>
  <c r="A120" i="57"/>
  <c r="A116" i="9"/>
  <c r="F114" i="57"/>
  <c r="A118" i="57"/>
  <c r="A131" i="57"/>
  <c r="A114" i="9"/>
  <c r="A127" i="9"/>
  <c r="A10" i="52"/>
  <c r="B66" i="60" s="1"/>
  <c r="F114" i="9"/>
  <c r="A129" i="9"/>
  <c r="A12" i="52"/>
  <c r="B67" i="60" s="1"/>
  <c r="F112" i="9"/>
  <c r="B18" i="50" s="1"/>
  <c r="B45" i="50"/>
  <c r="B59" i="60"/>
  <c r="D2" i="52"/>
  <c r="B60" i="60"/>
  <c r="B10" i="50"/>
  <c r="B31" i="50" s="1"/>
  <c r="C6" i="50"/>
  <c r="B18" i="60" s="1"/>
  <c r="A13" i="54"/>
  <c r="B51" i="60"/>
  <c r="B50" i="60"/>
  <c r="B47" i="60"/>
  <c r="B16" i="60"/>
  <c r="B51" i="10"/>
  <c r="B49" i="60"/>
  <c r="A15" i="55"/>
  <c r="B45" i="60"/>
  <c r="B44" i="60"/>
  <c r="B43" i="60"/>
  <c r="C10" i="50"/>
  <c r="B24" i="60" s="1"/>
  <c r="C7" i="50"/>
  <c r="C15" i="50" s="1"/>
  <c r="C35" i="50"/>
  <c r="C34" i="50"/>
  <c r="C33" i="50"/>
  <c r="B13" i="60"/>
  <c r="C42" i="50"/>
  <c r="C36" i="50"/>
  <c r="C39" i="50"/>
  <c r="I19" i="43"/>
  <c r="C19" i="43" s="1"/>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C94" i="57" s="1"/>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C6" i="43" s="1"/>
  <c r="D5" i="43" s="1"/>
  <c r="H6" i="44"/>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s="1"/>
  <c r="E15" i="1"/>
  <c r="E19" i="11" s="1"/>
  <c r="E40" i="1"/>
  <c r="F34" i="15"/>
  <c r="F63" i="15"/>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s="1"/>
  <c r="H36" i="21"/>
  <c r="U36" i="21"/>
  <c r="J33" i="21"/>
  <c r="W33" i="21" s="1"/>
  <c r="H33" i="21"/>
  <c r="AB33" i="21" s="1"/>
  <c r="F33" i="21"/>
  <c r="AA33" i="21" s="1"/>
  <c r="J10" i="21"/>
  <c r="AC10" i="21" s="1"/>
  <c r="J12" i="21"/>
  <c r="AC12" i="21"/>
  <c r="H12" i="21"/>
  <c r="AB12"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c r="C101" i="43"/>
  <c r="N101" i="43"/>
  <c r="N107" i="43" s="1"/>
  <c r="L101" i="43"/>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s="1"/>
  <c r="J34" i="21"/>
  <c r="AC34" i="21" s="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E48" i="43" s="1"/>
  <c r="B46" i="43" s="1"/>
  <c r="M48" i="43"/>
  <c r="N48" i="43"/>
  <c r="K52" i="43"/>
  <c r="J52" i="43"/>
  <c r="D52" i="43"/>
  <c r="M52" i="43"/>
  <c r="N52" i="43" s="1"/>
  <c r="K56" i="43"/>
  <c r="J56" i="43" s="1"/>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s="1"/>
  <c r="D31" i="50"/>
  <c r="D32" i="50" s="1"/>
  <c r="D10" i="50"/>
  <c r="D11" i="50" s="1"/>
  <c r="B25" i="60" s="1"/>
  <c r="D112" i="57"/>
  <c r="D35" i="50"/>
  <c r="D14" i="50"/>
  <c r="B28" i="60"/>
  <c r="D22" i="15"/>
  <c r="A14" i="52"/>
  <c r="B61" i="60" s="1"/>
  <c r="C37" i="57"/>
  <c r="F125" i="57"/>
  <c r="G125" i="57"/>
  <c r="Y25" i="31"/>
  <c r="C36" i="57"/>
  <c r="D125" i="57"/>
  <c r="V25" i="31"/>
  <c r="H102" i="43"/>
  <c r="K107" i="43"/>
  <c r="M5" i="43"/>
  <c r="F81" i="43"/>
  <c r="H85" i="43" s="1"/>
  <c r="H13" i="44"/>
  <c r="G59" i="40"/>
  <c r="C59" i="40"/>
  <c r="H11" i="44"/>
  <c r="C51" i="10"/>
  <c r="A8" i="54"/>
  <c r="B8" i="60" s="1"/>
  <c r="F2" i="21"/>
  <c r="F2" i="34"/>
  <c r="F2" i="35"/>
  <c r="F2" i="33"/>
  <c r="D36" i="57"/>
  <c r="C114" i="9"/>
  <c r="H112" i="9" s="1"/>
  <c r="C120" i="57"/>
  <c r="H11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E9" i="43"/>
  <c r="E8" i="43"/>
  <c r="E10" i="43"/>
  <c r="E11" i="43"/>
  <c r="C7" i="39"/>
  <c r="C68" i="39" s="1"/>
  <c r="C53" i="10"/>
  <c r="D123" i="9"/>
  <c r="D6" i="52" s="1"/>
  <c r="D124" i="9"/>
  <c r="D7" i="52" s="1"/>
  <c r="N49" i="57"/>
  <c r="B58" i="60"/>
  <c r="L109" i="43"/>
  <c r="H107" i="43"/>
  <c r="K106" i="43"/>
  <c r="G105" i="43"/>
  <c r="C104" i="43"/>
  <c r="A125" i="57"/>
  <c r="L108" i="57" s="1"/>
  <c r="N47" i="9"/>
  <c r="N104" i="46"/>
  <c r="J17" i="43"/>
  <c r="C7" i="33"/>
  <c r="C58" i="33" s="1"/>
  <c r="D58" i="33" s="1"/>
  <c r="C7" i="37"/>
  <c r="C52" i="37" s="1"/>
  <c r="D52" i="37" s="1"/>
  <c r="L104" i="43"/>
  <c r="H104" i="43"/>
  <c r="D105" i="43"/>
  <c r="D102" i="43"/>
  <c r="K103" i="43"/>
  <c r="G104" i="43"/>
  <c r="C105" i="43"/>
  <c r="D115" i="43"/>
  <c r="E115" i="43"/>
  <c r="F115" i="43" s="1"/>
  <c r="G115" i="43" s="1"/>
  <c r="H115" i="43" s="1"/>
  <c r="B117" i="43"/>
  <c r="C117" i="43" s="1"/>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C115" i="43" s="1"/>
  <c r="D113" i="43" s="1"/>
  <c r="D116" i="43"/>
  <c r="E116" i="43"/>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s="1"/>
  <c r="K61" i="9" s="1"/>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s="1"/>
  <c r="B8" i="62"/>
  <c r="D120" i="57"/>
  <c r="D121" i="57" s="1"/>
  <c r="I117" i="57" s="1"/>
  <c r="D10" i="59"/>
  <c r="I114" i="9"/>
  <c r="D129" i="9"/>
  <c r="D12" i="52" s="1"/>
  <c r="I112" i="9"/>
  <c r="D39" i="50" s="1"/>
  <c r="D40" i="50" s="1"/>
  <c r="D116" i="9"/>
  <c r="D114" i="9"/>
  <c r="D115" i="9"/>
  <c r="I113" i="9" s="1"/>
  <c r="N49" i="9"/>
  <c r="M67" i="9" s="1"/>
  <c r="N67" i="9" s="1"/>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8" i="21"/>
  <c r="AB39" i="21"/>
  <c r="AA39" i="21"/>
  <c r="AB36" i="21"/>
  <c r="AC35" i="21"/>
  <c r="U34" i="21"/>
  <c r="U33" i="21"/>
  <c r="AA11" i="21"/>
  <c r="S2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s="1"/>
  <c r="H53" i="43"/>
  <c r="N60" i="15"/>
  <c r="G17" i="43"/>
  <c r="M64" i="9"/>
  <c r="N64" i="9"/>
  <c r="M68" i="9"/>
  <c r="N68" i="9" s="1"/>
  <c r="J20" i="15"/>
  <c r="C6" i="15"/>
  <c r="F51" i="15"/>
  <c r="M63" i="9"/>
  <c r="N63" i="9" s="1"/>
  <c r="N69" i="9" s="1"/>
  <c r="O69" i="9" s="1"/>
  <c r="M66" i="9"/>
  <c r="N66" i="9" s="1"/>
  <c r="D127" i="9"/>
  <c r="D10" i="52" s="1"/>
  <c r="H52" i="43"/>
  <c r="H56" i="43"/>
  <c r="C63" i="15"/>
  <c r="G118" i="43"/>
  <c r="H118" i="43"/>
  <c r="I117" i="43"/>
  <c r="J117" i="43"/>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c r="K115" i="43" s="1"/>
  <c r="L115" i="43" s="1"/>
  <c r="M115" i="43" s="1"/>
  <c r="C79" i="57"/>
  <c r="C76" i="57" s="1"/>
  <c r="C24" i="12"/>
  <c r="C29" i="12" s="1"/>
  <c r="D28" i="12" s="1"/>
  <c r="C77" i="9"/>
  <c r="C74" i="9" s="1"/>
  <c r="C32" i="15"/>
  <c r="J18" i="15"/>
  <c r="F31" i="15"/>
  <c r="H48" i="43"/>
  <c r="H49" i="43"/>
  <c r="H55" i="43"/>
  <c r="D59" i="34"/>
  <c r="D46" i="36"/>
  <c r="F102" i="43"/>
  <c r="F107" i="43"/>
  <c r="J103" i="43"/>
  <c r="J109" i="43"/>
  <c r="M103" i="43"/>
  <c r="M105" i="43"/>
  <c r="E22" i="43"/>
  <c r="D22" i="43" s="1"/>
  <c r="H22" i="43"/>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109" i="9"/>
  <c r="H106" i="9" s="1"/>
  <c r="C111" i="9"/>
  <c r="H108" i="9" s="1"/>
  <c r="H105" i="9"/>
  <c r="C110" i="9"/>
  <c r="H107" i="9"/>
  <c r="D21" i="50"/>
  <c r="D22" i="50" s="1"/>
  <c r="B35" i="60" s="1"/>
  <c r="D41" i="50"/>
  <c r="B63" i="60"/>
  <c r="C12" i="50"/>
  <c r="E125" i="57"/>
  <c r="D126" i="57"/>
  <c r="C96" i="57"/>
  <c r="C113" i="57"/>
  <c r="H108" i="57"/>
  <c r="C115" i="57"/>
  <c r="H110" i="57"/>
  <c r="D19" i="50"/>
  <c r="B32" i="60" s="1"/>
  <c r="M66" i="57"/>
  <c r="N66" i="57"/>
  <c r="M68" i="57"/>
  <c r="N68" i="57"/>
  <c r="C34" i="15"/>
  <c r="C14" i="50"/>
  <c r="C8" i="59"/>
  <c r="C7" i="59"/>
  <c r="D8" i="59"/>
  <c r="X8" i="59"/>
  <c r="Y8" i="59"/>
  <c r="Z8" i="59"/>
  <c r="AF3" i="59"/>
  <c r="P25" i="43"/>
  <c r="K1" i="61"/>
  <c r="W23" i="21"/>
  <c r="AB23" i="21"/>
  <c r="S23" i="21"/>
  <c r="AC19" i="21"/>
  <c r="U19" i="21"/>
  <c r="S19" i="21"/>
  <c r="U37" i="21"/>
  <c r="W37" i="21"/>
  <c r="S17" i="21"/>
  <c r="AC17" i="21"/>
  <c r="W17" i="21"/>
  <c r="D7" i="62"/>
  <c r="C7" i="62"/>
  <c r="C50" i="15"/>
  <c r="F60" i="15"/>
  <c r="C60" i="15" s="1"/>
  <c r="B23" i="31"/>
  <c r="R25" i="31"/>
  <c r="L49" i="15"/>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I55" i="15"/>
  <c r="J54" i="15"/>
  <c r="B34" i="1" s="1"/>
  <c r="F41" i="15" s="1"/>
  <c r="F70" i="15" s="1"/>
  <c r="F59" i="34"/>
  <c r="M20" i="43"/>
  <c r="D110" i="57"/>
  <c r="H126" i="57"/>
  <c r="C107" i="57"/>
  <c r="I104" i="57"/>
  <c r="D111" i="57"/>
  <c r="C108" i="57"/>
  <c r="I105" i="57"/>
  <c r="G59" i="34"/>
  <c r="C61" i="15"/>
  <c r="I112" i="57"/>
  <c r="D129" i="57"/>
  <c r="D47" i="57"/>
  <c r="N50" i="57"/>
  <c r="D116" i="57"/>
  <c r="D117" i="57"/>
  <c r="I113" i="57"/>
  <c r="D130" i="57"/>
  <c r="H59" i="34"/>
  <c r="D61" i="57"/>
  <c r="N57" i="57"/>
  <c r="D57" i="57"/>
  <c r="N55" i="57"/>
  <c r="C80" i="57"/>
  <c r="C75" i="57"/>
  <c r="C95" i="57"/>
  <c r="C66" i="57"/>
  <c r="C65" i="57"/>
  <c r="C69" i="57" s="1"/>
  <c r="C70" i="57" s="1"/>
  <c r="D56" i="57" s="1"/>
  <c r="C74" i="57"/>
  <c r="C87" i="57"/>
  <c r="I59" i="34"/>
  <c r="J59" i="34" s="1"/>
  <c r="K59" i="34" s="1"/>
  <c r="L59" i="34" s="1"/>
  <c r="M59" i="34" s="1"/>
  <c r="N59" i="34" s="1"/>
  <c r="J60" i="15"/>
  <c r="J61" i="15"/>
  <c r="Q46" i="15" s="1"/>
  <c r="L47" i="15"/>
  <c r="J19" i="15"/>
  <c r="C33" i="15"/>
  <c r="C31" i="15"/>
  <c r="C62" i="15"/>
  <c r="L61" i="15"/>
  <c r="Q64" i="15" s="1"/>
  <c r="D55" i="9"/>
  <c r="N53" i="9" s="1"/>
  <c r="D56" i="9"/>
  <c r="N54" i="9" s="1"/>
  <c r="D59" i="9"/>
  <c r="N55" i="9" s="1"/>
  <c r="E2" i="34"/>
  <c r="H23" i="31"/>
  <c r="E2" i="35"/>
  <c r="C19" i="57"/>
  <c r="D19" i="57"/>
  <c r="C20" i="57"/>
  <c r="D7" i="61"/>
  <c r="D5" i="61"/>
  <c r="D3" i="61"/>
  <c r="D6" i="61"/>
  <c r="E2" i="21"/>
  <c r="F6" i="61"/>
  <c r="F5" i="61"/>
  <c r="F7" i="61"/>
  <c r="F4" i="61"/>
  <c r="D20" i="57"/>
  <c r="E2" i="37"/>
  <c r="F3" i="61"/>
  <c r="E2" i="33"/>
  <c r="E2" i="36"/>
  <c r="D4" i="61"/>
  <c r="E2" i="11"/>
  <c r="C94" i="9" l="1"/>
  <c r="C92" i="9"/>
  <c r="B57" i="60"/>
  <c r="B39" i="50"/>
  <c r="Q50" i="15"/>
  <c r="AC21" i="21"/>
  <c r="C18" i="9"/>
  <c r="D18" i="9" s="1"/>
  <c r="W34" i="21"/>
  <c r="N6" i="43"/>
  <c r="C5" i="43"/>
  <c r="F10" i="40"/>
  <c r="S10" i="40" s="1"/>
  <c r="L57" i="15"/>
  <c r="F10" i="39"/>
  <c r="H10" i="40"/>
  <c r="C2" i="66"/>
  <c r="C65" i="40"/>
  <c r="D63" i="40"/>
  <c r="J17" i="15"/>
  <c r="F4" i="48"/>
  <c r="H4" i="48" s="1"/>
  <c r="AA37" i="21"/>
  <c r="S37" i="21"/>
  <c r="C88" i="57"/>
  <c r="C97" i="57" s="1"/>
  <c r="C99" i="57" s="1"/>
  <c r="D60" i="57" s="1"/>
  <c r="D58" i="57" s="1"/>
  <c r="N56" i="57" s="1"/>
  <c r="F26" i="21"/>
  <c r="H26" i="21"/>
  <c r="J26" i="21"/>
  <c r="F89" i="21"/>
  <c r="G89" i="21" s="1"/>
  <c r="H89" i="21" s="1"/>
  <c r="I89" i="21" s="1"/>
  <c r="J89" i="21" s="1"/>
  <c r="K89" i="21" s="1"/>
  <c r="L89" i="21" s="1"/>
  <c r="M89" i="21" s="1"/>
  <c r="C15" i="12"/>
  <c r="C12" i="12"/>
  <c r="C13" i="12"/>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F28" i="15"/>
  <c r="C28" i="15" s="1"/>
  <c r="F54" i="57"/>
  <c r="F52" i="9"/>
  <c r="D70" i="57"/>
  <c r="D55" i="57"/>
  <c r="D50" i="57" s="1"/>
  <c r="N54" i="57" s="1"/>
  <c r="F30" i="11"/>
  <c r="M18" i="15"/>
  <c r="D68" i="9"/>
  <c r="F55" i="57"/>
  <c r="F53" i="9"/>
  <c r="F48" i="9"/>
  <c r="P52" i="9" s="1"/>
  <c r="F54" i="9"/>
  <c r="D54" i="57"/>
  <c r="C81" i="57"/>
  <c r="C98" i="57"/>
  <c r="E98" i="57" s="1"/>
  <c r="E99" i="57" s="1"/>
  <c r="U10" i="39"/>
  <c r="AB10" i="39"/>
  <c r="J10" i="40"/>
  <c r="J10" i="39"/>
  <c r="L59" i="15"/>
  <c r="J58" i="15"/>
  <c r="J56" i="15" s="1"/>
  <c r="J59" i="15" s="1"/>
  <c r="Q48" i="15" s="1"/>
  <c r="C21" i="43"/>
  <c r="C8" i="62"/>
  <c r="D8" i="62"/>
  <c r="C23" i="12"/>
  <c r="C31" i="12"/>
  <c r="C34" i="11"/>
  <c r="C14" i="15"/>
  <c r="D128" i="9"/>
  <c r="D11" i="52" s="1"/>
  <c r="D20" i="50"/>
  <c r="O59" i="34"/>
  <c r="F7" i="34" s="1"/>
  <c r="H7" i="34"/>
  <c r="C83" i="57"/>
  <c r="C82" i="57"/>
  <c r="E82" i="57" s="1"/>
  <c r="E83" i="57" s="1"/>
  <c r="E52" i="37"/>
  <c r="F52" i="37" s="1"/>
  <c r="G52" i="37" s="1"/>
  <c r="H52" i="37" s="1"/>
  <c r="I52" i="37" s="1"/>
  <c r="J52" i="37" s="1"/>
  <c r="K52" i="37" s="1"/>
  <c r="L52" i="37" s="1"/>
  <c r="M52" i="37" s="1"/>
  <c r="N52" i="37" s="1"/>
  <c r="O52" i="37" s="1"/>
  <c r="J7" i="37"/>
  <c r="E58" i="33"/>
  <c r="F58" i="33" s="1"/>
  <c r="G58" i="33" s="1"/>
  <c r="H58" i="33" s="1"/>
  <c r="I58" i="33" s="1"/>
  <c r="J58" i="33" s="1"/>
  <c r="K58" i="33" s="1"/>
  <c r="L58" i="33" s="1"/>
  <c r="M58" i="33" s="1"/>
  <c r="N58" i="33" s="1"/>
  <c r="O58" i="33" s="1"/>
  <c r="F7" i="33"/>
  <c r="C70" i="39"/>
  <c r="D68" i="39"/>
  <c r="G46" i="36"/>
  <c r="E48" i="35"/>
  <c r="F48" i="35" s="1"/>
  <c r="G48" i="35" s="1"/>
  <c r="H48" i="35" s="1"/>
  <c r="I48" i="35" s="1"/>
  <c r="J48" i="35" s="1"/>
  <c r="K48" i="35" s="1"/>
  <c r="L48" i="35" s="1"/>
  <c r="M48" i="35" s="1"/>
  <c r="N48" i="35" s="1"/>
  <c r="O48" i="35" s="1"/>
  <c r="F7" i="35"/>
  <c r="J7" i="35"/>
  <c r="H7" i="35"/>
  <c r="D58" i="21"/>
  <c r="E58" i="21" s="1"/>
  <c r="F58" i="21" s="1"/>
  <c r="G58" i="21" s="1"/>
  <c r="H58" i="21" s="1"/>
  <c r="I58" i="21" s="1"/>
  <c r="J58" i="21" s="1"/>
  <c r="K58" i="21" s="1"/>
  <c r="L58" i="21" s="1"/>
  <c r="M58" i="21" s="1"/>
  <c r="N58" i="21" s="1"/>
  <c r="O58" i="21" s="1"/>
  <c r="F7" i="21"/>
  <c r="H7" i="21"/>
  <c r="J7" i="21"/>
  <c r="B33" i="60"/>
  <c r="L60" i="15"/>
  <c r="E20" i="43"/>
  <c r="G20" i="57"/>
  <c r="C104" i="57"/>
  <c r="D104" i="57"/>
  <c r="C103" i="57"/>
  <c r="G19" i="57"/>
  <c r="D22" i="57"/>
  <c r="D103" i="57"/>
  <c r="I1" i="61"/>
  <c r="B31" i="1" s="1"/>
  <c r="G1" i="61"/>
  <c r="F70" i="43" l="1"/>
  <c r="G26" i="47"/>
  <c r="AA10" i="40"/>
  <c r="S10" i="39"/>
  <c r="AA10" i="39"/>
  <c r="U10" i="40"/>
  <c r="AB10" i="40"/>
  <c r="C16" i="12"/>
  <c r="C21" i="12" s="1"/>
  <c r="C22" i="12" s="1"/>
  <c r="H7" i="33"/>
  <c r="J7" i="33"/>
  <c r="H7" i="37"/>
  <c r="F7" i="37"/>
  <c r="J7" i="34"/>
  <c r="D65" i="40"/>
  <c r="E63" i="40"/>
  <c r="O59" i="57"/>
  <c r="O60" i="57" s="1"/>
  <c r="AB26" i="21"/>
  <c r="U26" i="21"/>
  <c r="AC26" i="21"/>
  <c r="W26" i="21"/>
  <c r="AA26" i="21"/>
  <c r="S26" i="21"/>
  <c r="D5" i="48"/>
  <c r="E3" i="4"/>
  <c r="B5" i="55" s="1"/>
  <c r="B55" i="60" s="1"/>
  <c r="D10" i="48"/>
  <c r="C3" i="4"/>
  <c r="E27" i="1"/>
  <c r="F25" i="12" s="1"/>
  <c r="C30" i="11"/>
  <c r="C48" i="11"/>
  <c r="F48" i="11"/>
  <c r="W10" i="39"/>
  <c r="AC10" i="39"/>
  <c r="W10" i="40"/>
  <c r="AC10" i="40"/>
  <c r="Q58" i="15"/>
  <c r="Q71" i="15"/>
  <c r="C18" i="15"/>
  <c r="C16" i="15"/>
  <c r="C15" i="15"/>
  <c r="C35" i="11"/>
  <c r="C38" i="11"/>
  <c r="C36" i="11"/>
  <c r="AC7" i="21"/>
  <c r="V48" i="21" s="1"/>
  <c r="I48" i="21" s="1"/>
  <c r="W7" i="2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F11" i="15"/>
  <c r="M11" i="15"/>
  <c r="J10" i="15" s="1"/>
  <c r="J5" i="15" s="1"/>
  <c r="C105" i="57"/>
  <c r="C106" i="57"/>
  <c r="N28" i="43"/>
  <c r="O28" i="43"/>
  <c r="G20" i="43" s="1"/>
  <c r="P28" i="43"/>
  <c r="M28" i="43"/>
  <c r="H71" i="43" l="1"/>
  <c r="G71" i="43" s="1"/>
  <c r="H72" i="43"/>
  <c r="G72" i="43" s="1"/>
  <c r="H73" i="43"/>
  <c r="G73" i="43" s="1"/>
  <c r="H74" i="43"/>
  <c r="G74" i="43" s="1"/>
  <c r="H75" i="43"/>
  <c r="G75" i="43" s="1"/>
  <c r="H76" i="43"/>
  <c r="G76" i="43" s="1"/>
  <c r="H78" i="43"/>
  <c r="G78" i="43" s="1"/>
  <c r="H70" i="43"/>
  <c r="G70" i="43" s="1"/>
  <c r="H77" i="43"/>
  <c r="G77" i="43" s="1"/>
  <c r="O61" i="57"/>
  <c r="O62" i="57" s="1"/>
  <c r="Q59" i="57"/>
  <c r="C30" i="12"/>
  <c r="C28" i="12" s="1"/>
  <c r="E65" i="40"/>
  <c r="F63" i="40"/>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I53" i="21" s="1"/>
  <c r="J53" i="21" s="1"/>
  <c r="R50" i="34"/>
  <c r="E49" i="34"/>
  <c r="G46" i="37"/>
  <c r="H46" i="37" s="1"/>
  <c r="G47" i="37"/>
  <c r="H47" i="37" s="1"/>
  <c r="G42" i="35"/>
  <c r="H42" i="35" s="1"/>
  <c r="G43" i="35"/>
  <c r="H43" i="35" s="1"/>
  <c r="I52" i="21"/>
  <c r="J52" i="21" s="1"/>
  <c r="C27" i="12"/>
  <c r="C25" i="12" s="1"/>
  <c r="C26" i="12"/>
  <c r="D25" i="12" s="1"/>
  <c r="J24" i="15"/>
  <c r="J26" i="15"/>
  <c r="J29" i="15" s="1"/>
  <c r="E41" i="43"/>
  <c r="C41" i="43" s="1"/>
  <c r="C20" i="43"/>
  <c r="C10" i="15"/>
  <c r="C5" i="15" s="1"/>
  <c r="C54" i="15"/>
  <c r="C49" i="15" s="1"/>
  <c r="M70" i="43" l="1"/>
  <c r="N70" i="43" s="1"/>
  <c r="K70" i="43"/>
  <c r="M76" i="43"/>
  <c r="N76" i="43" s="1"/>
  <c r="K76" i="43"/>
  <c r="M74" i="43"/>
  <c r="N74" i="43" s="1"/>
  <c r="K74" i="43"/>
  <c r="M72" i="43"/>
  <c r="N72" i="43" s="1"/>
  <c r="K72" i="43"/>
  <c r="K77" i="43"/>
  <c r="M77" i="43"/>
  <c r="N77" i="43" s="1"/>
  <c r="M78" i="43"/>
  <c r="N78" i="43" s="1"/>
  <c r="K78" i="43"/>
  <c r="J78" i="43" s="1"/>
  <c r="M75" i="43"/>
  <c r="N75" i="43" s="1"/>
  <c r="K75" i="43"/>
  <c r="J75" i="43" s="1"/>
  <c r="D75" i="43" s="1"/>
  <c r="M73" i="43"/>
  <c r="K73" i="43"/>
  <c r="J73" i="43" s="1"/>
  <c r="M71" i="43"/>
  <c r="N71" i="43" s="1"/>
  <c r="K71" i="43"/>
  <c r="O63" i="57"/>
  <c r="F65" i="40"/>
  <c r="G63" i="40"/>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67" i="15"/>
  <c r="D71" i="43" l="1"/>
  <c r="J71" i="43"/>
  <c r="D72" i="43"/>
  <c r="J72" i="43"/>
  <c r="D74" i="43"/>
  <c r="J74" i="43"/>
  <c r="D76" i="43"/>
  <c r="J76" i="43"/>
  <c r="D70" i="43"/>
  <c r="J70" i="43"/>
  <c r="D73" i="43"/>
  <c r="N73" i="43"/>
  <c r="D77" i="43"/>
  <c r="J77" i="43"/>
  <c r="H63" i="40"/>
  <c r="G65" i="40"/>
  <c r="C41" i="11"/>
  <c r="C49" i="11" s="1"/>
  <c r="C51" i="11" s="1"/>
  <c r="B3" i="12"/>
  <c r="C36" i="15"/>
  <c r="Q47" i="15"/>
  <c r="C13" i="15"/>
  <c r="Q68" i="15" s="1"/>
  <c r="C58" i="15"/>
  <c r="C65" i="15" s="1"/>
  <c r="B3" i="21"/>
  <c r="B2" i="21"/>
  <c r="B3" i="35"/>
  <c r="B2" i="35"/>
  <c r="K46" i="36"/>
  <c r="H68" i="39"/>
  <c r="G70" i="39"/>
  <c r="J13" i="15"/>
  <c r="J23" i="15" s="1"/>
  <c r="J22" i="15"/>
  <c r="D19" i="9"/>
  <c r="D20" i="9"/>
  <c r="E70" i="43" l="1"/>
  <c r="B68" i="43" s="1"/>
  <c r="C24" i="43" s="1"/>
  <c r="H65" i="40"/>
  <c r="I63" i="40"/>
  <c r="C37" i="15"/>
  <c r="C30" i="15" s="1"/>
  <c r="C39" i="15" s="1"/>
  <c r="C40" i="15" s="1"/>
  <c r="C57" i="15"/>
  <c r="C66" i="15" s="1"/>
  <c r="C59" i="15" s="1"/>
  <c r="C68" i="15" s="1"/>
  <c r="C69" i="15" s="1"/>
  <c r="C72" i="15" s="1"/>
  <c r="J34" i="15"/>
  <c r="D101" i="9"/>
  <c r="D102" i="9"/>
  <c r="J16" i="15"/>
  <c r="J25" i="15" s="1"/>
  <c r="I68" i="39"/>
  <c r="H70" i="39"/>
  <c r="L46" i="36"/>
  <c r="C39" i="43" l="1"/>
  <c r="C35" i="43"/>
  <c r="T13" i="43"/>
  <c r="V13" i="43" s="1"/>
  <c r="T4" i="43"/>
  <c r="V4" i="43" s="1"/>
  <c r="T5" i="43"/>
  <c r="V5" i="43" s="1"/>
  <c r="T12" i="43"/>
  <c r="V12" i="43" s="1"/>
  <c r="T7" i="43"/>
  <c r="V7" i="43" s="1"/>
  <c r="T11" i="43"/>
  <c r="V11" i="43" s="1"/>
  <c r="T15" i="43"/>
  <c r="V15" i="43" s="1"/>
  <c r="T2" i="43"/>
  <c r="V2" i="43" s="1"/>
  <c r="C34" i="43"/>
  <c r="C36" i="43"/>
  <c r="C38" i="43"/>
  <c r="C33" i="43"/>
  <c r="C37" i="43"/>
  <c r="T6" i="43"/>
  <c r="V6" i="43" s="1"/>
  <c r="T3" i="43"/>
  <c r="V3" i="43" s="1"/>
  <c r="T14" i="43"/>
  <c r="V14" i="43" s="1"/>
  <c r="T8" i="43"/>
  <c r="V8" i="43" s="1"/>
  <c r="T9" i="43"/>
  <c r="V9" i="43" s="1"/>
  <c r="T10" i="43"/>
  <c r="V10" i="43" s="1"/>
  <c r="T16" i="43"/>
  <c r="V16" i="43" s="1"/>
  <c r="C29" i="43"/>
  <c r="J63" i="40"/>
  <c r="I65" i="40"/>
  <c r="J38" i="15"/>
  <c r="J39" i="15" s="1"/>
  <c r="Q67" i="15"/>
  <c r="Q66" i="15" s="1"/>
  <c r="C7" i="11"/>
  <c r="C5" i="11" s="1"/>
  <c r="C47" i="15"/>
  <c r="M46" i="36"/>
  <c r="J68" i="39"/>
  <c r="I70" i="39"/>
  <c r="B3" i="15"/>
  <c r="Q45" i="15"/>
  <c r="Q51" i="15" s="1"/>
  <c r="Q63" i="15"/>
  <c r="Q73" i="15" s="1"/>
  <c r="Q54" i="15"/>
  <c r="Q60" i="15" s="1"/>
  <c r="B2" i="15"/>
  <c r="L52" i="15"/>
  <c r="C43" i="15"/>
  <c r="J41" i="15"/>
  <c r="E33" i="43" l="1"/>
  <c r="G33" i="43"/>
  <c r="I33" i="43" s="1"/>
  <c r="E36" i="43"/>
  <c r="G36" i="43"/>
  <c r="I36" i="43" s="1"/>
  <c r="E35" i="43"/>
  <c r="G35" i="43"/>
  <c r="I35" i="43" s="1"/>
  <c r="E29" i="43"/>
  <c r="C30" i="43"/>
  <c r="E30" i="43" s="1"/>
  <c r="E37" i="43"/>
  <c r="G37" i="43"/>
  <c r="I37" i="43" s="1"/>
  <c r="E38" i="43"/>
  <c r="G38" i="43"/>
  <c r="I38" i="43" s="1"/>
  <c r="G34" i="43"/>
  <c r="I34" i="43" s="1"/>
  <c r="E34" i="43"/>
  <c r="G39" i="43"/>
  <c r="I39" i="43" s="1"/>
  <c r="E39" i="43"/>
  <c r="K63" i="40"/>
  <c r="J65" i="40"/>
  <c r="C20" i="11"/>
  <c r="C23" i="11"/>
  <c r="K68" i="39"/>
  <c r="J70" i="39"/>
  <c r="N46" i="36"/>
  <c r="J42" i="15"/>
  <c r="Q65" i="15"/>
  <c r="L58" i="15"/>
  <c r="C27" i="43" l="1"/>
  <c r="C26" i="43"/>
  <c r="B2" i="43" s="1"/>
  <c r="B3" i="43" s="1"/>
  <c r="L63" i="40"/>
  <c r="K65" i="40"/>
  <c r="C28" i="11"/>
  <c r="C27" i="11" s="1"/>
  <c r="C25" i="11"/>
  <c r="C22" i="11" s="1"/>
  <c r="O46" i="36"/>
  <c r="J7" i="36"/>
  <c r="L68" i="39"/>
  <c r="K70" i="39"/>
  <c r="M63" i="40" l="1"/>
  <c r="L65" i="40"/>
  <c r="C31" i="11"/>
  <c r="C52" i="11" s="1"/>
  <c r="B3" i="11" s="1"/>
  <c r="L70" i="39"/>
  <c r="M68" i="39"/>
  <c r="F7" i="36"/>
  <c r="H7" i="36"/>
  <c r="W7" i="36"/>
  <c r="AC7" i="36"/>
  <c r="V36" i="36" s="1"/>
  <c r="I36" i="36" s="1"/>
  <c r="C20" i="9"/>
  <c r="N63" i="40" l="1"/>
  <c r="M65" i="40"/>
  <c r="B2" i="11"/>
  <c r="C56" i="11"/>
  <c r="C102" i="9"/>
  <c r="G20" i="9"/>
  <c r="I40" i="36"/>
  <c r="J40" i="36" s="1"/>
  <c r="U7" i="36"/>
  <c r="AB7" i="36"/>
  <c r="T36" i="36" s="1"/>
  <c r="G36" i="36" s="1"/>
  <c r="M70" i="39"/>
  <c r="N68" i="39"/>
  <c r="AA7" i="36"/>
  <c r="R36" i="36" s="1"/>
  <c r="S7" i="36"/>
  <c r="C19" i="9"/>
  <c r="C57" i="11" l="1"/>
  <c r="D35" i="9"/>
  <c r="D34" i="9" s="1"/>
  <c r="O63" i="40"/>
  <c r="O65" i="40" s="1"/>
  <c r="N65" i="40"/>
  <c r="C101" i="9"/>
  <c r="D22" i="9"/>
  <c r="G19" i="9"/>
  <c r="G2" i="66"/>
  <c r="F2" i="66" s="1"/>
  <c r="F3" i="66" s="1"/>
  <c r="C32" i="9"/>
  <c r="N70" i="39"/>
  <c r="O68" i="39"/>
  <c r="O70" i="39" s="1"/>
  <c r="G41" i="36"/>
  <c r="H41" i="36" s="1"/>
  <c r="G40" i="36"/>
  <c r="H40" i="36" s="1"/>
  <c r="E36" i="36"/>
  <c r="R37" i="36"/>
  <c r="F7" i="40" l="1"/>
  <c r="J7" i="40"/>
  <c r="H7" i="40"/>
  <c r="I121" i="9"/>
  <c r="C35" i="9"/>
  <c r="G121" i="9" s="1"/>
  <c r="C37" i="36"/>
  <c r="B2" i="36" s="1"/>
  <c r="B3" i="36" s="1"/>
  <c r="C36" i="36"/>
  <c r="J7" i="39"/>
  <c r="H7" i="39"/>
  <c r="F7" i="39"/>
  <c r="E40" i="36"/>
  <c r="F40" i="36" s="1"/>
  <c r="E41" i="36"/>
  <c r="F41" i="36" s="1"/>
  <c r="I41" i="36"/>
  <c r="J41" i="36" s="1"/>
  <c r="AC7" i="40" l="1"/>
  <c r="V42" i="40" s="1"/>
  <c r="I42" i="40" s="1"/>
  <c r="I46" i="40" s="1"/>
  <c r="J46" i="40" s="1"/>
  <c r="W7" i="40"/>
  <c r="AB7" i="40"/>
  <c r="T42" i="40" s="1"/>
  <c r="G42" i="40" s="1"/>
  <c r="U7" i="40"/>
  <c r="AA7" i="40"/>
  <c r="R42" i="40" s="1"/>
  <c r="S7" i="40"/>
  <c r="C34" i="9"/>
  <c r="E121" i="9" s="1"/>
  <c r="D121" i="9" s="1"/>
  <c r="F121" i="9"/>
  <c r="G4" i="52"/>
  <c r="B41" i="60" s="1"/>
  <c r="H121" i="9"/>
  <c r="I4" i="52"/>
  <c r="I103" i="9"/>
  <c r="C104" i="9"/>
  <c r="D107" i="9"/>
  <c r="U7" i="39"/>
  <c r="AB7" i="39"/>
  <c r="T47" i="39" s="1"/>
  <c r="G47" i="39" s="1"/>
  <c r="AA7" i="39"/>
  <c r="R47" i="39" s="1"/>
  <c r="S7" i="39"/>
  <c r="W7" i="39"/>
  <c r="AC7" i="39"/>
  <c r="V47" i="39" s="1"/>
  <c r="I47" i="39" s="1"/>
  <c r="E42" i="40" l="1"/>
  <c r="R43" i="40"/>
  <c r="G46" i="40"/>
  <c r="H46" i="40" s="1"/>
  <c r="G47" i="40"/>
  <c r="H47" i="40" s="1"/>
  <c r="E4" i="52"/>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I47" i="40" l="1"/>
  <c r="J47" i="40" s="1"/>
  <c r="E46" i="40"/>
  <c r="F46" i="40" s="1"/>
  <c r="E47" i="40"/>
  <c r="F47" i="40" s="1"/>
  <c r="C42" i="40"/>
  <c r="C43" i="40"/>
  <c r="D113" i="9"/>
  <c r="D117" i="9"/>
  <c r="D28" i="50"/>
  <c r="D29" i="50" s="1"/>
  <c r="I110" i="9"/>
  <c r="D7" i="50"/>
  <c r="N48" i="9"/>
  <c r="D45" i="9"/>
  <c r="F14" i="62"/>
  <c r="B5" i="62"/>
  <c r="E14" i="62"/>
  <c r="C47" i="39"/>
  <c r="C48" i="39"/>
  <c r="E51" i="39"/>
  <c r="F51" i="39" s="1"/>
  <c r="E52" i="39"/>
  <c r="F52" i="39" s="1"/>
  <c r="I52" i="39"/>
  <c r="J52" i="39" s="1"/>
  <c r="B56" i="40" l="1"/>
  <c r="F56" i="40" s="1"/>
  <c r="B54" i="40"/>
  <c r="F54" i="40" s="1"/>
  <c r="B53" i="40"/>
  <c r="F53" i="40" s="1"/>
  <c r="B52" i="40"/>
  <c r="F52" i="40" s="1"/>
  <c r="B55" i="40"/>
  <c r="F55" i="40" s="1"/>
  <c r="B60" i="40"/>
  <c r="F60" i="40" s="1"/>
  <c r="B58" i="40"/>
  <c r="F58" i="40" s="1"/>
  <c r="B57" i="40"/>
  <c r="F57" i="40" s="1"/>
  <c r="B59" i="40"/>
  <c r="F59" i="40" s="1"/>
  <c r="B51" i="40"/>
  <c r="F51" i="40" s="1"/>
  <c r="F61" i="40" s="1"/>
  <c r="B2" i="40" s="1"/>
  <c r="B3" i="40" s="1"/>
  <c r="C5" i="62"/>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<sst xmlns="http://schemas.openxmlformats.org/spreadsheetml/2006/main" count="7165" uniqueCount="3141">
  <si>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</si>
  <si>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</si>
  <si>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</si>
  <si>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</si>
  <si>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</si>
  <si>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</si>
  <si>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</si>
  <si>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</si>
  <si>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</si>
  <si>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</si>
  <si>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</si>
  <si>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</si>
  <si>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</si>
  <si>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</si>
  <si>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</si>
  <si>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</si>
  <si>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</si>
  <si>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</si>
  <si>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</si>
  <si>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</si>
  <si>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</si>
  <si>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</si>
  <si>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</si>
  <si>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</si>
  <si>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</si>
  <si>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</si>
  <si>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</si>
  <si>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</si>
  <si>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</si>
  <si>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</si>
  <si>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</si>
  <si>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</si>
  <si>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</si>
  <si>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</si>
  <si>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</si>
  <si>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</si>
  <si>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</si>
  <si>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</si>
  <si>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</si>
  <si>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</si>
  <si>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</si>
  <si>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</si>
  <si>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</si>
  <si>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</si>
  <si>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</si>
  <si>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</si>
  <si>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</si>
  <si>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</si>
  <si>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</si>
  <si>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</si>
  <si>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</si>
  <si>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</si>
  <si>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</si>
  <si>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</si>
  <si>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</si>
  <si>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</si>
  <si>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</si>
  <si>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</si>
  <si>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</si>
  <si>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</si>
  <si>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</si>
  <si>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</si>
  <si>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</si>
  <si>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</si>
  <si>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</si>
  <si>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</si>
  <si>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</si>
  <si>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</si>
  <si>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</si>
  <si>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</si>
  <si>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</si>
  <si>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</si>
  <si>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</si>
  <si>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</si>
  <si>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</si>
  <si>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</si>
  <si>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</si>
  <si>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</si>
  <si>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</si>
  <si>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</si>
  <si>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</si>
  <si>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</si>
  <si>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</si>
  <si>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</si>
  <si>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</si>
  <si>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</si>
  <si>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</si>
  <si>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</si>
  <si>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</si>
  <si>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</si>
  <si>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</si>
  <si>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</si>
  <si>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</si>
  <si>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</si>
  <si>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</si>
  <si>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</si>
  <si>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</si>
  <si>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</si>
  <si>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</si>
  <si>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</si>
  <si>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</si>
  <si>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</si>
  <si>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</si>
  <si>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</si>
  <si>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</si>
  <si>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</si>
  <si>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</si>
  <si>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</si>
  <si>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</si>
  <si>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</si>
  <si>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</si>
  <si>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</si>
  <si>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</si>
  <si>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</si>
  <si>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</si>
  <si>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</si>
  <si>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</si>
  <si>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</si>
  <si>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</si>
  <si>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</si>
  <si>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</si>
  <si>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</si>
  <si>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</si>
  <si>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</si>
  <si>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</si>
  <si>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</si>
  <si>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</si>
  <si>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</si>
  <si>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</si>
  <si>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</si>
  <si>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</si>
  <si>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</si>
  <si>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</si>
  <si>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</si>
  <si>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</si>
  <si>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</si>
  <si>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</si>
  <si>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</si>
  <si>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</si>
  <si>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</si>
  <si>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</si>
  <si>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</si>
  <si>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</si>
  <si>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</si>
  <si>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</si>
  <si>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</si>
  <si>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</si>
  <si>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</si>
  <si>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</si>
  <si>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</si>
  <si>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</si>
  <si>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</si>
  <si>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</si>
  <si>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</si>
  <si>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</si>
  <si>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</si>
  <si>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</si>
  <si>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</si>
  <si>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</si>
  <si>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</si>
  <si>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</si>
  <si>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</si>
  <si>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</si>
  <si>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</si>
  <si>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</si>
  <si>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</si>
  <si>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</si>
  <si>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</si>
  <si>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</si>
  <si>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</si>
  <si>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</si>
  <si>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</si>
  <si>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</si>
  <si>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</si>
  <si>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</si>
  <si>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</si>
  <si>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</si>
  <si>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</si>
  <si>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</si>
  <si>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</si>
  <si>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</si>
  <si>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</si>
  <si>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</si>
  <si>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</si>
  <si>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</si>
  <si>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</si>
  <si>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</si>
  <si>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</si>
  <si>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</si>
  <si>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</si>
  <si>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</si>
  <si>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</si>
  <si>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</si>
  <si>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</si>
  <si>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</si>
  <si>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</si>
  <si>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</si>
  <si>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</si>
  <si>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</si>
  <si>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</si>
  <si>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</si>
  <si>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</si>
  <si>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</si>
  <si>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</si>
  <si>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</si>
  <si>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</si>
  <si>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</si>
  <si>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</si>
  <si>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</si>
  <si>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</si>
  <si>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</si>
  <si>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</si>
  <si>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</si>
  <si>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</si>
  <si>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</si>
  <si>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</si>
  <si>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</si>
  <si>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</si>
  <si>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</si>
  <si>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</si>
  <si>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</si>
  <si>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</si>
  <si>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</si>
  <si>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</si>
  <si>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</si>
  <si>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</si>
  <si>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</si>
  <si>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</si>
  <si>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</si>
  <si>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</si>
  <si>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</si>
  <si>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</si>
  <si>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</si>
  <si>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</si>
  <si>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</si>
  <si>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</si>
  <si>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</si>
  <si>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</si>
  <si>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</si>
  <si>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</si>
  <si>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</si>
  <si>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</si>
  <si>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</si>
  <si>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</si>
  <si>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</si>
  <si>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</si>
  <si>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</si>
  <si>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</si>
  <si>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</si>
  <si>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</si>
  <si>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</si>
  <si>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</si>
  <si>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</si>
  <si>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</si>
  <si>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</si>
  <si>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</si>
  <si>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</si>
  <si>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</si>
  <si>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</si>
  <si>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</si>
  <si>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</si>
  <si>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</si>
  <si>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</si>
  <si>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</si>
  <si>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</si>
  <si>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</si>
  <si>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</si>
  <si>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</si>
  <si>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</si>
  <si>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</si>
  <si>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</si>
  <si>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</si>
  <si>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</si>
  <si>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</si>
  <si>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</si>
  <si>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</si>
  <si>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</si>
  <si>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</si>
  <si>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</si>
  <si>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</si>
  <si>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</si>
  <si>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</si>
  <si>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</si>
  <si>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</si>
  <si>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</si>
  <si>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</si>
  <si>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</si>
  <si>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</si>
  <si>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</si>
  <si>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</si>
  <si>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</si>
  <si>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</si>
  <si>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</si>
  <si>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</si>
  <si>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</si>
  <si>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</si>
  <si>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</si>
  <si>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</si>
  <si>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</si>
  <si>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</si>
  <si>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</si>
  <si>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</si>
  <si>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</si>
  <si>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</si>
  <si>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</si>
  <si>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</si>
  <si>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</si>
  <si>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</si>
  <si>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</si>
  <si>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</si>
  <si>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</si>
  <si>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</si>
  <si>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</si>
  <si>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</si>
  <si>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</si>
  <si>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</si>
  <si>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</si>
  <si>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</si>
  <si>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</si>
  <si>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</si>
  <si>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</si>
  <si>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</si>
  <si>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</si>
  <si>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</si>
  <si>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</si>
  <si>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</si>
  <si>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</si>
  <si>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</si>
  <si>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</si>
  <si>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</si>
  <si>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</si>
  <si>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</si>
  <si>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</si>
  <si>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</si>
  <si>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</si>
  <si>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</si>
  <si>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</si>
  <si>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</si>
  <si>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</si>
  <si>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</si>
  <si>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</si>
  <si>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</si>
  <si>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</si>
  <si>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</si>
  <si>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</si>
  <si>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</si>
  <si>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</si>
  <si>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</si>
  <si>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</si>
  <si>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</si>
  <si>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</si>
  <si>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</si>
  <si>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</si>
  <si>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</si>
  <si>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</si>
  <si>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</si>
  <si>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</si>
  <si>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</si>
  <si>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</si>
  <si>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</si>
  <si>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</si>
  <si>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</si>
  <si>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</si>
  <si>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</si>
  <si>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</si>
  <si>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</si>
  <si>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</si>
  <si>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</si>
  <si>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</si>
  <si>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</si>
  <si>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</si>
  <si>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</si>
  <si>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</si>
  <si>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</si>
  <si>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</si>
  <si>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</si>
  <si>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</si>
  <si>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</si>
  <si>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</si>
  <si>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</si>
  <si>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</si>
  <si>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</si>
  <si>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</si>
  <si>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</si>
  <si>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</si>
  <si>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</si>
  <si>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</si>
  <si>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</si>
  <si>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</si>
  <si>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</si>
  <si>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</si>
  <si>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</si>
  <si>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</si>
  <si>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</si>
  <si>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</si>
  <si>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</si>
  <si>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</si>
  <si>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</si>
  <si>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</si>
  <si>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</si>
  <si>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</si>
  <si>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</si>
  <si>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</si>
  <si>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</si>
  <si>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</si>
  <si>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</si>
  <si>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</si>
  <si>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</si>
  <si>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</si>
  <si>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</si>
  <si>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</si>
  <si>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</si>
  <si>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</si>
  <si>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</si>
  <si>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</si>
  <si>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</si>
  <si>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</si>
  <si>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</si>
  <si>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</si>
  <si>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</si>
  <si>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</si>
  <si>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</si>
  <si>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</si>
  <si>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</si>
  <si>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</si>
  <si>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</si>
  <si>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</si>
  <si>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</si>
  <si>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</si>
  <si>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</si>
  <si>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</si>
  <si>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</si>
  <si>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</si>
  <si>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</si>
  <si>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</si>
  <si>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</si>
  <si>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</si>
  <si>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</si>
  <si>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</si>
  <si>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</si>
  <si>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</si>
  <si>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</si>
  <si>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</si>
  <si>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</si>
  <si>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</si>
  <si>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</si>
  <si>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</si>
  <si>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</si>
  <si>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</si>
  <si>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</si>
  <si>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</si>
  <si>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</si>
  <si>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</si>
  <si>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</si>
  <si>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</si>
  <si>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</si>
  <si>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</si>
  <si>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</si>
  <si>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</si>
  <si>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</si>
  <si>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</si>
  <si>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</si>
  <si>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</si>
  <si>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</si>
  <si>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</si>
  <si>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</si>
  <si>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</si>
  <si>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</si>
  <si>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</si>
  <si>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</si>
  <si>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</si>
  <si>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</si>
  <si>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</si>
  <si>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</si>
  <si>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</si>
  <si>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</si>
  <si>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</si>
  <si>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</si>
  <si>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</si>
  <si>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</si>
  <si>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</si>
  <si>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</si>
  <si>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</si>
  <si>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</si>
  <si>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</si>
  <si>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</si>
  <si>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</si>
  <si>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</si>
  <si>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</si>
  <si>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</si>
  <si>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</si>
  <si>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</si>
  <si>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</si>
  <si>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</si>
  <si>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</si>
  <si>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</si>
  <si>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</si>
  <si>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</si>
  <si>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</si>
  <si>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</si>
  <si>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</si>
  <si>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</si>
  <si>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</si>
  <si>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</si>
  <si>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</si>
  <si>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</si>
  <si>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</si>
  <si>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</si>
  <si>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</si>
  <si>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</si>
  <si>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</si>
  <si>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</si>
  <si>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</si>
  <si>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</si>
  <si>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</si>
  <si>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</si>
  <si>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</si>
  <si>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</si>
  <si>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</si>
  <si>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</si>
  <si>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</si>
  <si>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</si>
  <si>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</si>
  <si>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</si>
  <si>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</si>
  <si>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</si>
  <si>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</si>
  <si>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</si>
  <si>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</si>
  <si>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</si>
  <si>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</si>
  <si>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</si>
  <si>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</si>
  <si>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</si>
  <si>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</si>
  <si>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</si>
  <si>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</si>
  <si>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</si>
  <si>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</si>
  <si>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</si>
  <si>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</si>
  <si>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</si>
  <si>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</si>
  <si>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</si>
  <si>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</si>
  <si>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</si>
  <si>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</si>
  <si>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</si>
  <si>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</si>
  <si>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</si>
  <si>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</si>
  <si>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</si>
  <si>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</si>
  <si>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</si>
  <si>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</si>
  <si>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</si>
  <si>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</si>
  <si>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</si>
  <si>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</si>
  <si>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</si>
  <si>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</si>
  <si>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</si>
  <si>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</si>
  <si>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</si>
  <si>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</si>
  <si>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</si>
  <si>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</si>
  <si>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</si>
  <si>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</si>
  <si>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</si>
  <si>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</si>
  <si>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</si>
  <si>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</si>
  <si>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</si>
  <si>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</si>
  <si>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</si>
  <si>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</si>
  <si>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</si>
  <si>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</si>
  <si>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</si>
  <si>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</si>
  <si>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</si>
  <si>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</si>
  <si>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</si>
  <si>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</si>
  <si>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</si>
  <si>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</si>
  <si>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</si>
  <si>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</si>
  <si>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</si>
  <si>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</si>
  <si>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</si>
  <si>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</si>
  <si>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</si>
  <si>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</si>
  <si>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</si>
  <si>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</si>
  <si>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</si>
  <si>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</si>
  <si>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</si>
  <si>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</si>
  <si>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</si>
  <si>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</si>
  <si>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</si>
  <si>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</si>
  <si>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</si>
  <si>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</si>
  <si>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</si>
  <si>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</si>
  <si>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</si>
  <si>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</si>
  <si>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</si>
  <si>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</si>
  <si>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</si>
  <si>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</si>
  <si>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</si>
  <si>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</si>
  <si>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</si>
  <si>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</si>
  <si>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</si>
  <si>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</si>
  <si>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</si>
  <si>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</si>
  <si>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</si>
  <si>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</si>
  <si>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</si>
  <si>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</si>
  <si>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</si>
  <si>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</si>
  <si>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</si>
  <si>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</si>
  <si>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</si>
  <si>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</si>
  <si>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</si>
  <si>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</si>
  <si>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</si>
  <si>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</si>
  <si>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</si>
  <si>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</si>
  <si>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</si>
  <si>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</si>
  <si>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</si>
  <si>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</si>
  <si>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</si>
  <si>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</si>
  <si>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</si>
  <si>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</si>
  <si>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</si>
  <si>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</si>
  <si>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</si>
  <si>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</si>
  <si>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</si>
  <si>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</si>
  <si>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</si>
  <si>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</si>
  <si>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</si>
  <si>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</si>
  <si>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</si>
  <si>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</si>
  <si>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</si>
  <si>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</si>
  <si>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</si>
  <si>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</si>
  <si>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</si>
  <si>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</si>
  <si>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</si>
  <si>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</si>
  <si>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</si>
  <si>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</si>
  <si>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</si>
  <si>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</si>
  <si>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</si>
  <si>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</si>
  <si>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</si>
  <si>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</si>
  <si>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</si>
  <si>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</si>
  <si>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</si>
  <si>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</si>
  <si>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</si>
  <si>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</si>
  <si>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</si>
  <si>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</si>
  <si>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</si>
  <si>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</si>
  <si>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</si>
  <si>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</si>
  <si>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</si>
  <si>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</si>
  <si>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</si>
  <si>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</si>
  <si>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</si>
  <si>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</si>
  <si>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</si>
  <si>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</si>
  <si>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</si>
  <si>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</si>
  <si>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</si>
  <si>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</si>
  <si>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</si>
  <si>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</si>
  <si>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</si>
  <si>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</si>
  <si>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</si>
  <si>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</si>
  <si>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</si>
  <si>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</si>
  <si>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</si>
  <si>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</si>
  <si>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</si>
  <si>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</si>
  <si>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</si>
  <si>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</si>
  <si>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</si>
  <si>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</si>
  <si>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</si>
  <si>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</si>
  <si>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</si>
  <si>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</si>
  <si>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</si>
  <si>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</si>
  <si>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</si>
  <si>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</si>
  <si>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</si>
  <si>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</si>
  <si>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</si>
  <si>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</si>
  <si>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</si>
  <si>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</si>
  <si>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</si>
  <si>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</si>
  <si>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</si>
  <si>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</si>
  <si>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</si>
  <si>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</si>
  <si>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</si>
  <si>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</si>
  <si>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</si>
  <si>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</si>
  <si>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</si>
  <si>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</si>
  <si>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</si>
  <si>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</si>
  <si>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</si>
  <si>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</si>
  <si>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</si>
  <si>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</si>
  <si>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</si>
  <si>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</si>
  <si>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</si>
  <si>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</si>
  <si>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</si>
  <si>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</si>
  <si>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</si>
  <si>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</si>
  <si>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</si>
  <si>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</si>
  <si>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</si>
  <si>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</si>
  <si>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</si>
  <si>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</si>
  <si>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</si>
  <si>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</si>
  <si>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</si>
  <si>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</si>
  <si>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</si>
  <si>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</si>
  <si>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</si>
  <si>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</si>
  <si>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</si>
  <si>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</si>
  <si>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</si>
  <si>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</si>
  <si>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</si>
  <si>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</si>
  <si>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</si>
  <si>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</si>
  <si>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</si>
  <si>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</si>
  <si>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</si>
  <si>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</si>
  <si>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</si>
  <si>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</si>
  <si>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</si>
  <si>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</si>
  <si>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</si>
  <si>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</si>
  <si>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</si>
  <si>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</si>
  <si>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</si>
  <si>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</si>
  <si>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</si>
  <si>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</si>
  <si>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</si>
  <si>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</si>
  <si>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</si>
  <si>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</si>
  <si>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</si>
  <si>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</si>
  <si>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</si>
  <si>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</si>
  <si>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</si>
  <si>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</si>
  <si>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</si>
  <si>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</si>
  <si>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</si>
  <si>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</si>
  <si>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</si>
  <si>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</si>
  <si>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</si>
  <si>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</si>
  <si>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</si>
  <si>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</si>
  <si>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</si>
  <si>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</si>
  <si>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</si>
  <si>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</si>
  <si>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</si>
  <si>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</si>
  <si>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</si>
  <si>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</si>
  <si>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</si>
  <si>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</si>
  <si>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</si>
  <si>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</si>
  <si>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</si>
  <si>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</si>
  <si>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</si>
  <si>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</si>
  <si>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</si>
  <si>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</si>
  <si>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</si>
  <si>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</si>
  <si>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</si>
  <si>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</si>
  <si>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</si>
  <si>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</si>
  <si>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</si>
  <si>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</si>
  <si>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</si>
  <si>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</si>
  <si>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</si>
  <si>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</si>
  <si>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</si>
  <si>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</si>
  <si>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</si>
  <si>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</si>
  <si>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</si>
  <si>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</si>
  <si>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</si>
  <si>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</si>
  <si>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</si>
  <si>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</si>
  <si>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</si>
  <si>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</si>
  <si>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</si>
  <si>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</si>
  <si>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</si>
  <si>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</si>
  <si>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</si>
  <si>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</si>
  <si>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</si>
  <si>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</si>
  <si>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</si>
  <si>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</si>
  <si>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</si>
  <si>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</si>
  <si>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</si>
  <si>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</si>
  <si>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</si>
  <si>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</si>
  <si>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</si>
  <si>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</si>
  <si>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</si>
  <si>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</si>
  <si>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</si>
  <si>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</si>
  <si>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</si>
  <si>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</si>
  <si>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</si>
  <si>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</si>
  <si>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</si>
  <si>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</si>
  <si>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</si>
  <si>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</si>
  <si>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</si>
  <si>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</si>
  <si>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</si>
  <si>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</si>
  <si>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</si>
  <si>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</si>
  <si>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</si>
  <si>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</si>
  <si>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</si>
  <si>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</si>
  <si>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</si>
  <si>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</si>
  <si>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</si>
  <si>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</si>
  <si>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</si>
  <si>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</si>
  <si>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</si>
  <si>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</si>
  <si>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</si>
  <si>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</si>
  <si>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</si>
  <si>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</si>
  <si>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</si>
  <si>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</si>
  <si>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</si>
  <si>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</si>
  <si>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</si>
  <si>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</si>
  <si>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</si>
  <si>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</si>
  <si>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</si>
  <si>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</si>
  <si>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</si>
  <si>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</si>
  <si>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</si>
  <si>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</si>
  <si>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</si>
  <si>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</si>
  <si>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</si>
  <si>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</si>
  <si>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</si>
  <si>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</si>
  <si>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</si>
  <si>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</si>
  <si>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</si>
  <si>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</si>
  <si>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</si>
  <si>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</si>
  <si>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</si>
  <si>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</si>
  <si>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</si>
  <si>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</si>
  <si>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</si>
  <si>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</si>
  <si>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</si>
  <si>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</si>
  <si>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</si>
  <si>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</si>
  <si>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</si>
  <si>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</si>
  <si>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</si>
  <si>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</si>
  <si>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</si>
  <si>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</si>
  <si>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</si>
  <si>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</si>
  <si>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</si>
  <si>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</si>
  <si>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</si>
  <si>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</si>
  <si>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</si>
  <si>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</si>
  <si>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</si>
  <si>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</si>
  <si>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</si>
  <si>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</si>
  <si>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</si>
  <si>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</si>
  <si>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</si>
  <si>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</si>
  <si>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</si>
  <si>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</si>
  <si>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</si>
  <si>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</si>
  <si>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</si>
  <si>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</si>
  <si>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</si>
  <si>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</si>
  <si>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</si>
  <si>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</si>
  <si>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</si>
  <si>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</si>
  <si>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</si>
  <si>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</si>
  <si>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</si>
  <si>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</si>
  <si>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</si>
  <si>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</si>
  <si>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</si>
  <si>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</si>
  <si>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</si>
  <si>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</si>
  <si>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</si>
  <si>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</si>
  <si>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</si>
  <si>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</si>
  <si>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</si>
  <si>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</si>
  <si>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</si>
  <si>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</si>
  <si>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</si>
  <si>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</si>
  <si>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</si>
  <si>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</si>
  <si>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</si>
  <si>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</si>
  <si>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</si>
  <si>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</si>
  <si>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</si>
  <si>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</si>
  <si>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</si>
  <si>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</si>
  <si>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</si>
  <si>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</si>
  <si>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</si>
  <si>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</si>
  <si>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</si>
  <si>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</si>
  <si>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</si>
  <si>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</si>
  <si>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</si>
  <si>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</si>
  <si>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</si>
  <si>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</si>
  <si>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</si>
  <si>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</si>
  <si>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</si>
  <si>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</si>
  <si>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</si>
  <si>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</si>
  <si>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</si>
  <si>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</si>
  <si>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</si>
  <si>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</si>
  <si>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</si>
  <si>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</si>
  <si>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</si>
  <si>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</si>
  <si>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</si>
  <si>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</si>
  <si>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</si>
  <si>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</si>
  <si>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</si>
  <si>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</si>
  <si>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</si>
  <si>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</si>
  <si>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</si>
  <si>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</si>
  <si>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</si>
  <si>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</si>
  <si>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</si>
  <si>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</si>
  <si>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</si>
  <si>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</si>
  <si>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</si>
  <si>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</si>
  <si>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</si>
  <si>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</si>
  <si>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</si>
  <si>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</si>
  <si>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</si>
  <si>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</si>
  <si>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</si>
  <si>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</si>
  <si>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</si>
  <si>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</si>
  <si>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</si>
  <si>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</si>
  <si>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</si>
  <si>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</si>
  <si>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</si>
  <si>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</si>
  <si>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</si>
  <si>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</si>
  <si>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</si>
  <si>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</si>
  <si>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</si>
  <si>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</si>
  <si>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</si>
  <si>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</si>
  <si>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</si>
  <si>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</si>
  <si>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</si>
  <si>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</si>
  <si>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</si>
  <si>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</si>
  <si>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</si>
  <si>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</si>
  <si>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</si>
  <si>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</si>
  <si>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</si>
  <si>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</si>
  <si>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</si>
  <si>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</si>
  <si>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</si>
  <si>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</si>
  <si>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</si>
  <si>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</si>
  <si>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</si>
  <si>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</si>
  <si>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</si>
  <si>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</si>
  <si>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</si>
  <si>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</si>
  <si>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</si>
  <si>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</si>
  <si>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</si>
  <si>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</si>
  <si>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</si>
  <si>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</si>
  <si>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</si>
  <si>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</si>
  <si>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</si>
  <si>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</si>
  <si>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</si>
  <si>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</si>
  <si>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</si>
  <si>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</si>
  <si>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</si>
  <si>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</si>
  <si>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</si>
  <si>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</si>
  <si>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</si>
  <si>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</si>
  <si>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</si>
  <si>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</si>
  <si>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</si>
  <si>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</si>
  <si>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</si>
  <si>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</si>
  <si>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</si>
  <si>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</si>
  <si>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</si>
  <si>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</si>
  <si>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</si>
  <si>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</si>
  <si>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</si>
  <si>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</si>
  <si>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</si>
  <si>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</si>
  <si>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</si>
  <si>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</si>
  <si>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</si>
  <si>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</si>
  <si>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</si>
  <si>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</si>
  <si>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</si>
  <si>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</si>
  <si>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</si>
  <si>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</si>
  <si>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</si>
  <si>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</si>
  <si>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</si>
  <si>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</si>
  <si>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</si>
  <si>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</si>
  <si>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</si>
  <si>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</si>
  <si>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</si>
  <si>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</si>
  <si>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</si>
  <si>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</si>
  <si>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</si>
  <si>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</si>
  <si>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</si>
  <si>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</si>
  <si>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</si>
  <si>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</si>
  <si>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</si>
  <si>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</si>
  <si>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</si>
  <si>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</si>
  <si>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</si>
  <si>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</si>
  <si>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</si>
  <si>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</si>
  <si>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</si>
  <si>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</si>
  <si>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</si>
  <si>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</si>
  <si>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</si>
  <si>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</si>
  <si>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</si>
  <si>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</si>
  <si>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</si>
  <si>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</si>
  <si>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</si>
  <si>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</si>
  <si>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</si>
  <si>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</si>
  <si>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</si>
  <si>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</si>
  <si>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</si>
  <si>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</si>
  <si>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</si>
  <si>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</si>
  <si>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</si>
  <si>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</si>
  <si>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</si>
  <si>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</si>
  <si>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</si>
  <si>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</si>
  <si>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</si>
  <si>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</si>
  <si>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</si>
  <si>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</si>
  <si>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</si>
  <si>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</si>
  <si>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</si>
  <si>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</si>
  <si>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</si>
  <si>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</si>
  <si>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</si>
  <si>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</si>
  <si>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</si>
  <si>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</si>
  <si>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</si>
  <si>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</si>
  <si>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</si>
  <si>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</si>
  <si>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</si>
  <si>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</si>
  <si>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</si>
  <si>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</si>
  <si>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</si>
  <si>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</si>
  <si>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</si>
  <si>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</si>
  <si>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</si>
  <si>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</si>
  <si>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</si>
  <si>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</si>
  <si>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</si>
  <si>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</si>
  <si>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</si>
  <si>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</si>
  <si>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</si>
  <si>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</si>
  <si>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</si>
  <si>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</si>
  <si>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</si>
  <si>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</si>
  <si>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</si>
  <si>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</si>
  <si>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</si>
  <si>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</si>
  <si>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</si>
  <si>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</si>
  <si>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</si>
  <si>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</si>
  <si>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</si>
  <si>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</si>
  <si>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</si>
  <si>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</si>
  <si>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</si>
  <si>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</si>
  <si>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</si>
  <si>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</si>
  <si>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</si>
  <si>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</si>
  <si>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</si>
  <si>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</si>
  <si>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</si>
  <si>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</si>
  <si>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</si>
  <si>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</si>
  <si>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</si>
  <si>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</si>
  <si>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</si>
  <si>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</si>
  <si>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</si>
  <si>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</si>
  <si>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</si>
  <si>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</si>
  <si>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</si>
  <si>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</si>
  <si>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</si>
  <si>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</si>
  <si>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</si>
  <si>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</si>
  <si>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</si>
  <si>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</si>
  <si>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</si>
  <si>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</si>
  <si>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</si>
  <si>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</si>
  <si>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</si>
  <si>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</si>
  <si>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</si>
  <si>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</si>
  <si>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</si>
  <si>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</si>
  <si>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</si>
  <si>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</si>
  <si>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</si>
  <si>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</si>
  <si>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</si>
  <si>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</si>
  <si>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</si>
  <si>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</si>
  <si>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</si>
  <si>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</si>
  <si>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</si>
  <si>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</si>
  <si>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</si>
  <si>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</si>
  <si>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</si>
  <si>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</si>
  <si>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</si>
  <si>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</si>
  <si>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</si>
  <si>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</si>
  <si>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</si>
  <si>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</si>
  <si>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</si>
  <si>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</si>
  <si>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</si>
  <si>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</si>
  <si>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</si>
  <si>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</si>
  <si>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</si>
  <si>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</si>
  <si>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</si>
  <si>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</si>
  <si>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</si>
  <si>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</si>
  <si>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</si>
  <si>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</si>
  <si>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</si>
  <si>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</si>
  <si>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</si>
  <si>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</si>
  <si>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</si>
  <si>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</si>
  <si>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</si>
  <si>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</si>
  <si>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</si>
  <si>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</si>
  <si>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</si>
  <si>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</si>
  <si>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</si>
  <si>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</si>
  <si>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</si>
  <si>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</si>
  <si>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</si>
  <si>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</si>
  <si>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</si>
  <si>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</si>
  <si>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</si>
  <si>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</si>
  <si>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</si>
  <si>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</si>
  <si>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</si>
  <si>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</si>
  <si>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</si>
  <si>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</si>
  <si>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</si>
  <si>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</si>
  <si>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</si>
  <si>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</si>
  <si>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</si>
  <si>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</si>
  <si>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</si>
  <si>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</si>
  <si>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</si>
  <si>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</si>
  <si>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</si>
  <si>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</si>
  <si>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</si>
  <si>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</si>
  <si>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</si>
  <si>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</si>
  <si>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</si>
  <si>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</si>
  <si>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</si>
  <si>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</si>
  <si>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</si>
  <si>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</si>
  <si>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</si>
  <si>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</si>
  <si>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</si>
  <si>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</si>
  <si>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</si>
  <si>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</si>
  <si>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</si>
  <si>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</si>
  <si>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</si>
  <si>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</si>
  <si>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</si>
  <si>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</si>
  <si>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</si>
  <si>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</si>
  <si>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</si>
  <si>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</si>
  <si>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</si>
  <si>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</si>
  <si>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</si>
  <si>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</si>
  <si>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</si>
  <si>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</si>
  <si>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</si>
  <si>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</si>
  <si>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</si>
  <si>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</si>
  <si>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</si>
  <si>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</si>
  <si>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</si>
  <si>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</si>
  <si>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</si>
  <si>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</si>
  <si>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</si>
  <si>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</si>
  <si>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</si>
  <si>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</si>
  <si>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</si>
  <si>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</si>
  <si>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</si>
  <si>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</si>
  <si>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</si>
  <si>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</si>
  <si>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</si>
  <si>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</si>
  <si>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</si>
  <si>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</si>
  <si>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</si>
  <si>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</si>
  <si>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</si>
  <si>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</si>
  <si>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</si>
  <si>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</si>
  <si>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</si>
  <si>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</si>
  <si>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</si>
  <si>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</si>
  <si>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</si>
  <si>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</si>
  <si>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</si>
  <si>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</si>
  <si>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</si>
  <si>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</si>
  <si>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</si>
  <si>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</si>
  <si>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</si>
  <si>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</si>
  <si>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</si>
  <si>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</si>
  <si>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</si>
  <si>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</si>
  <si>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</si>
  <si>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</si>
  <si>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</si>
  <si>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</si>
  <si>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</si>
  <si>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</si>
  <si>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</si>
  <si>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</si>
  <si>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</si>
  <si>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</si>
  <si>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</si>
  <si>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</si>
  <si>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</si>
  <si>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</si>
  <si>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</si>
  <si>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</si>
  <si>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</si>
  <si>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</si>
  <si>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</si>
  <si>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</si>
  <si>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</si>
  <si>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</si>
  <si>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</si>
  <si>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</si>
  <si>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</si>
  <si>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</si>
  <si>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</si>
  <si>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</si>
  <si>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</si>
  <si>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</si>
  <si>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</si>
  <si>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</si>
  <si>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</si>
  <si>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</si>
  <si>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</si>
  <si>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</si>
  <si>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</si>
  <si>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</si>
  <si>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</si>
  <si>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</si>
  <si>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</si>
  <si>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</si>
  <si>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</si>
  <si>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</si>
  <si>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</si>
  <si>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</si>
  <si>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</si>
  <si>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</si>
  <si>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</si>
  <si>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</si>
  <si>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</si>
  <si>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</si>
  <si>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</si>
  <si>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</si>
  <si>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</si>
  <si>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</si>
  <si>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</si>
  <si>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</si>
  <si>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</si>
  <si>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</si>
  <si>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</si>
  <si>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</si>
  <si>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</si>
  <si>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</si>
  <si>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</si>
  <si>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</si>
  <si>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</si>
  <si>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</si>
  <si>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</si>
  <si>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</si>
  <si>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</si>
  <si>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</si>
  <si>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</si>
  <si>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</si>
  <si>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</si>
  <si>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</si>
  <si>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</si>
  <si>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</si>
  <si>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</si>
  <si>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</si>
  <si>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</si>
  <si>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</si>
  <si>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</si>
  <si>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</si>
  <si>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</si>
  <si>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</si>
  <si>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</si>
  <si>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</si>
  <si>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</si>
  <si>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</si>
  <si>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</si>
  <si>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</si>
  <si>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</si>
  <si>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</si>
  <si>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</si>
  <si>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</si>
  <si>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</si>
  <si>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</si>
  <si>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</si>
  <si>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</si>
  <si>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</si>
  <si>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</si>
  <si>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</si>
  <si>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</si>
  <si>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</si>
  <si>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</si>
  <si>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</si>
  <si>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</si>
  <si>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</si>
  <si>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</si>
  <si>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</si>
  <si>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</si>
  <si>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</si>
  <si>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</si>
  <si>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</si>
  <si>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</si>
  <si>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</si>
  <si>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</si>
  <si>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</si>
  <si>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</si>
  <si>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</si>
  <si>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</si>
  <si>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</si>
  <si>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</si>
  <si>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</si>
  <si>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</si>
  <si>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</si>
  <si>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</si>
  <si>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</si>
  <si>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</si>
  <si>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</si>
  <si>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</si>
  <si>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</si>
  <si>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</si>
  <si>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</si>
  <si>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</si>
  <si>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</si>
  <si>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</si>
  <si>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</si>
  <si>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</si>
  <si>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</si>
  <si>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</si>
  <si>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</si>
  <si>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</si>
  <si>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</si>
  <si>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</si>
  <si>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</si>
  <si>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</si>
  <si>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</si>
  <si>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</si>
  <si>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</si>
  <si>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</si>
  <si>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</si>
  <si>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</si>
  <si>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</si>
  <si>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</si>
  <si>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</si>
  <si>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</si>
  <si>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</si>
  <si>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</si>
  <si>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</si>
  <si>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</si>
  <si>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</si>
  <si>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</si>
  <si>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</si>
  <si>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</si>
  <si>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</si>
  <si>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</si>
  <si>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</si>
  <si>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</si>
  <si>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</si>
  <si>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</si>
  <si>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</si>
  <si>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</si>
  <si>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</si>
  <si>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</si>
  <si>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</si>
  <si>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</si>
  <si>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</si>
  <si>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</si>
  <si>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</si>
  <si>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</si>
  <si>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</si>
  <si>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</si>
  <si>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</si>
  <si>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</si>
  <si>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</si>
  <si>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</si>
  <si>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</si>
  <si>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</si>
  <si>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</si>
  <si>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</si>
  <si>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</si>
  <si>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</si>
  <si>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</si>
  <si>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</si>
  <si>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</si>
  <si>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</si>
  <si>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</si>
  <si>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</si>
  <si>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</si>
  <si>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</si>
  <si>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</si>
  <si>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</si>
  <si>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</si>
  <si>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</si>
  <si>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</si>
  <si>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</si>
  <si>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</si>
  <si>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</si>
  <si>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</si>
  <si>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</si>
  <si>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</si>
  <si>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</si>
  <si>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</si>
  <si>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</si>
  <si>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</si>
  <si>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</si>
  <si>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</si>
  <si>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</si>
  <si>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</si>
  <si>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</si>
  <si>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</si>
  <si>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</si>
  <si>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</si>
  <si>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</si>
  <si>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</si>
  <si>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</si>
  <si>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</si>
  <si>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</si>
  <si>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</si>
  <si>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</si>
  <si>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</si>
  <si>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</si>
  <si>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</si>
  <si>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</si>
  <si>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</si>
  <si>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</si>
  <si>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</si>
  <si>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</si>
  <si>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</si>
  <si>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</si>
  <si>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</si>
  <si>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</si>
  <si>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</si>
  <si>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</si>
  <si>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</si>
  <si>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</si>
  <si>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</si>
  <si>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</si>
  <si>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</si>
  <si>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</si>
  <si>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</si>
  <si>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</si>
  <si>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</si>
  <si>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</si>
  <si>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</si>
  <si>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</si>
  <si>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</si>
  <si>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</si>
  <si>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</si>
  <si>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</si>
  <si>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</si>
  <si>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</si>
  <si>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</si>
  <si>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</si>
  <si>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</si>
  <si>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</si>
  <si>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</si>
  <si>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</si>
  <si>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</si>
  <si>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</si>
  <si>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</si>
  <si>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</si>
  <si>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</si>
  <si>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</si>
  <si>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</si>
  <si>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</si>
  <si>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</si>
  <si>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</si>
  <si>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</si>
  <si>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</si>
  <si>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</si>
  <si>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</si>
  <si>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</si>
  <si>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</si>
  <si>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</si>
  <si>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</si>
  <si>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</si>
  <si>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</si>
  <si>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</si>
  <si>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</si>
  <si>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</si>
  <si>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</si>
  <si>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</si>
  <si>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</si>
  <si>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</si>
  <si>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</si>
  <si>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</si>
  <si>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</si>
  <si>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</si>
  <si>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</si>
  <si>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</si>
  <si>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</si>
  <si>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</si>
  <si>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</si>
  <si>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</si>
  <si>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</si>
  <si>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</si>
  <si>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</si>
  <si>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</si>
  <si>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</si>
  <si>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</si>
  <si>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</si>
  <si>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</si>
  <si>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</si>
  <si>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</si>
  <si>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</si>
  <si>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</si>
  <si>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</si>
  <si>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</si>
  <si>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</si>
  <si>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</si>
  <si>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</si>
  <si>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</si>
  <si>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</si>
  <si>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</si>
  <si>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</si>
  <si>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</si>
  <si>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</si>
  <si>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</si>
  <si>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</si>
  <si>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</si>
  <si>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</si>
  <si>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</si>
  <si>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</si>
  <si>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</si>
  <si>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</si>
  <si>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</si>
  <si>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</si>
  <si>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</si>
  <si>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</si>
  <si>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</si>
  <si>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</si>
  <si>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</si>
  <si>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</si>
  <si>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</si>
  <si>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</si>
  <si>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</si>
  <si>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</si>
  <si>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</si>
  <si>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</si>
  <si>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</si>
  <si>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</si>
  <si>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</si>
  <si>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</si>
  <si>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</si>
  <si>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</si>
  <si>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</si>
  <si>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</si>
  <si>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</si>
  <si>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</si>
  <si>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</si>
  <si>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</si>
  <si>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</si>
  <si>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</si>
  <si>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</si>
  <si>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</si>
  <si>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</si>
  <si>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</si>
  <si>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</si>
  <si>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</si>
  <si>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</si>
  <si>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</si>
  <si>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</si>
  <si>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</si>
  <si>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</si>
  <si>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</si>
  <si>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</si>
  <si>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</si>
  <si>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</si>
  <si>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</si>
  <si>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</si>
  <si>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</si>
  <si>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</si>
  <si>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</si>
  <si>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</si>
  <si>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</si>
  <si>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</si>
  <si>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</si>
  <si>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</si>
  <si>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</si>
  <si>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</si>
  <si>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</si>
  <si>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</si>
  <si>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</si>
  <si>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</si>
  <si>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</si>
  <si>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</si>
  <si>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</si>
  <si>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</si>
  <si>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</si>
  <si>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</si>
  <si>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</si>
  <si>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</si>
  <si>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</si>
  <si>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</si>
  <si>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</si>
  <si>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</si>
  <si>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</si>
  <si>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</si>
  <si>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</si>
  <si>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</si>
  <si>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</si>
  <si>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</si>
  <si>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</si>
  <si>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</si>
  <si>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</si>
  <si>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</si>
  <si>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</si>
  <si>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</si>
  <si>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</si>
  <si>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</si>
  <si>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</si>
  <si>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</si>
  <si>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</si>
  <si>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</si>
  <si>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</si>
  <si>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</si>
  <si>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</si>
  <si>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</si>
  <si>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</si>
  <si>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</si>
  <si>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</si>
  <si>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</si>
  <si>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</si>
  <si>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</si>
  <si>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</si>
  <si>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</si>
  <si>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</si>
  <si>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</si>
  <si>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</si>
  <si>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</si>
  <si>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</si>
  <si>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</si>
  <si>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</si>
  <si>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</si>
  <si>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</si>
  <si>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</si>
  <si>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</si>
  <si>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</si>
  <si>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</si>
  <si>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</si>
  <si>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</si>
  <si>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</si>
  <si>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</si>
  <si>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</si>
  <si>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</si>
  <si>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</si>
  <si>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</si>
  <si>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</si>
  <si>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</si>
  <si>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</si>
  <si>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</si>
  <si>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</si>
  <si>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</si>
  <si>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</si>
  <si>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</si>
  <si>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</si>
  <si>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</si>
  <si>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</si>
  <si>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</si>
  <si>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</si>
  <si>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</si>
  <si>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</si>
  <si>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</si>
  <si>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</si>
  <si>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</si>
  <si>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</si>
  <si>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</si>
  <si>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</si>
  <si>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</si>
  <si>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</si>
  <si>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</si>
  <si>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</si>
  <si>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</si>
  <si>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</si>
  <si>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</si>
  <si>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</si>
  <si>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</si>
  <si>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</si>
  <si>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</si>
  <si>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</si>
  <si>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</si>
  <si>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</si>
  <si>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</si>
  <si>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</si>
  <si>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</si>
  <si>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</si>
  <si>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</si>
  <si>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</si>
  <si>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</si>
  <si>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</si>
  <si>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</si>
  <si>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</si>
  <si>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</si>
  <si>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</si>
  <si>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</si>
  <si>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</si>
  <si>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</si>
  <si>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</si>
  <si>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</si>
  <si>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</si>
  <si>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</si>
  <si>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</si>
  <si>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</si>
  <si>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</si>
  <si>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</si>
  <si>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</si>
  <si>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</si>
  <si>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</si>
  <si>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</si>
  <si>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</si>
  <si>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</si>
  <si>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</si>
  <si>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</si>
  <si>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</si>
  <si>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</si>
  <si>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</si>
  <si>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</si>
  <si>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</si>
  <si>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</si>
  <si>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</si>
  <si>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</si>
  <si>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</si>
  <si>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</si>
  <si>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</si>
  <si>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</si>
  <si>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</si>
  <si>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</si>
  <si>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</si>
  <si>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</si>
  <si>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</si>
  <si>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</si>
  <si>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</si>
  <si>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</si>
  <si>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</si>
  <si>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</si>
  <si>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</si>
  <si>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</si>
  <si>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</si>
  <si>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</si>
  <si>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</si>
  <si>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</si>
  <si>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</si>
  <si>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</si>
  <si>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</si>
  <si>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</si>
  <si>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</si>
  <si>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</si>
  <si>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</si>
  <si>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</si>
  <si>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</si>
  <si>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</si>
  <si>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</si>
  <si>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</si>
  <si>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</si>
  <si>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</si>
  <si>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</si>
  <si>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</si>
  <si>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</si>
  <si>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</si>
  <si>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</si>
  <si>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</si>
  <si>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</si>
  <si>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</si>
  <si>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</si>
  <si>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</si>
  <si>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</si>
  <si>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</si>
  <si>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</si>
  <si>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</si>
  <si>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</si>
  <si>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</si>
  <si>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</si>
  <si>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</si>
  <si>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</si>
  <si>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</si>
  <si>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</si>
  <si>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</si>
  <si>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</si>
  <si>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</si>
  <si>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</si>
  <si>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</si>
  <si>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</si>
  <si>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</si>
  <si>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</si>
  <si>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</si>
  <si>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</si>
  <si>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</si>
  <si>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</si>
  <si>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</si>
  <si>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</si>
  <si>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</si>
  <si>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</si>
  <si>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</si>
  <si>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</si>
  <si>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</si>
  <si>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</si>
  <si>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</si>
  <si>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</si>
  <si>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</si>
  <si>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</si>
  <si>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</si>
  <si>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</si>
  <si>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</si>
  <si>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</si>
  <si>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</si>
  <si>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</si>
  <si>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</si>
  <si>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</si>
  <si>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</si>
  <si>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</si>
  <si>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</si>
  <si>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</si>
  <si>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</si>
  <si>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</si>
  <si>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</si>
  <si>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</si>
  <si>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</si>
  <si>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</si>
  <si>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</si>
  <si>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</si>
  <si>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</si>
  <si>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</si>
  <si>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</si>
  <si>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</si>
  <si>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</si>
  <si>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</si>
  <si>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</si>
  <si>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</si>
  <si>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</si>
  <si>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</si>
  <si>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</si>
  <si>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</si>
  <si>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</si>
  <si>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</si>
  <si>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</si>
  <si>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</si>
  <si>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</si>
  <si>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</si>
  <si>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</si>
  <si>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</si>
  <si>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</si>
  <si>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</si>
  <si>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</si>
  <si>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</si>
  <si>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</si>
  <si>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</si>
  <si>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</si>
  <si>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</si>
  <si>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</si>
  <si>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</si>
  <si>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</si>
  <si>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</si>
  <si>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</si>
  <si>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</si>
  <si>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</si>
  <si>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</si>
  <si>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</si>
  <si>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</si>
  <si>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</si>
  <si>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</si>
  <si>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</si>
  <si>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</si>
  <si>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</si>
  <si>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</si>
  <si>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</si>
  <si>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</si>
  <si>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</si>
  <si>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</si>
  <si>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</si>
  <si>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</si>
  <si>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</si>
  <si>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</si>
  <si>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</si>
  <si>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</si>
  <si>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</si>
  <si>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</si>
  <si>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</si>
  <si>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</si>
  <si>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</si>
  <si>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</si>
  <si>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</si>
  <si>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</si>
  <si>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</si>
  <si>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</si>
  <si>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</si>
  <si>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</si>
  <si>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</si>
  <si>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</si>
  <si>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</si>
  <si>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</si>
  <si>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</si>
  <si>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</si>
  <si>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</si>
  <si>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</si>
  <si>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</si>
  <si>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</si>
  <si>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</si>
  <si>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</si>
  <si>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</si>
  <si>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</si>
  <si>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</si>
  <si>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</si>
  <si>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</si>
  <si>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</si>
  <si>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</si>
  <si>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</si>
  <si>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</si>
  <si>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</si>
  <si>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</si>
  <si>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</si>
  <si>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</si>
  <si>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</si>
  <si>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</si>
  <si>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</si>
  <si>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</si>
  <si>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</si>
  <si>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</si>
  <si>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</si>
  <si>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</si>
  <si>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</si>
  <si>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</si>
  <si>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</si>
  <si>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</si>
  <si>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</si>
  <si>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</si>
  <si>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</si>
  <si>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</si>
  <si>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</si>
  <si>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</si>
  <si>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</si>
  <si>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</si>
  <si>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</si>
  <si>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</si>
  <si>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</si>
  <si>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</si>
  <si>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</si>
  <si>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</si>
  <si>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</si>
  <si>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</si>
  <si>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</si>
  <si>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</si>
  <si>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</si>
  <si>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</si>
  <si>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</si>
  <si>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</si>
  <si>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</si>
  <si>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</si>
  <si>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</si>
  <si>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</si>
  <si>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</si>
  <si>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</si>
  <si>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</si>
  <si>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</si>
  <si>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</si>
  <si>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</si>
  <si>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</si>
  <si>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</si>
  <si>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</si>
  <si>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</si>
  <si>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</si>
  <si>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</si>
  <si>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</si>
  <si>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</si>
  <si>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</si>
  <si>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</si>
  <si>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</si>
  <si>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</si>
  <si>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</si>
  <si>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</si>
  <si>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</si>
  <si>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</si>
  <si>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</si>
  <si>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</si>
  <si>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</si>
  <si>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</si>
  <si>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</si>
  <si>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</si>
  <si>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</si>
  <si>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</si>
  <si>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</si>
  <si>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</si>
  <si>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</si>
  <si>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</si>
  <si>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</si>
  <si>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</si>
  <si>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</si>
  <si>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</si>
  <si>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</si>
  <si>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</si>
  <si>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</si>
  <si>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</si>
  <si>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</si>
  <si>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</si>
  <si>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</si>
  <si>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</si>
  <si>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</si>
  <si>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</si>
  <si>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</si>
  <si>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</si>
  <si>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</si>
  <si>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</si>
  <si>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</si>
  <si>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</si>
  <si>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</si>
  <si>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</si>
  <si>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</si>
  <si>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</si>
  <si>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</si>
  <si>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</si>
  <si>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</si>
  <si>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</si>
  <si>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</si>
  <si>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</si>
  <si>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</si>
  <si>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</si>
  <si>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</si>
  <si>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</si>
  <si>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</si>
  <si>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</si>
  <si>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</si>
  <si>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</si>
  <si>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</si>
  <si>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</si>
  <si>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</si>
  <si>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</si>
  <si>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</si>
  <si>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</si>
  <si>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</si>
  <si>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</si>
  <si>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</si>
  <si>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</si>
  <si>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</si>
  <si>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</si>
  <si>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</si>
  <si>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</si>
  <si>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</si>
  <si>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</si>
  <si>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</si>
  <si>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</si>
  <si>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</si>
  <si>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</si>
  <si>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</si>
  <si>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</si>
  <si>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</si>
  <si>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</si>
  <si>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</si>
  <si>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</si>
  <si>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</si>
  <si>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</si>
  <si>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</si>
  <si>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</si>
  <si>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</si>
  <si>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</si>
  <si>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</si>
  <si>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</si>
  <si>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</si>
  <si>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</si>
  <si>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</si>
  <si>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</si>
  <si>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</si>
  <si>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</si>
  <si>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</si>
  <si>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</si>
  <si>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</si>
  <si>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</si>
  <si>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</si>
  <si>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</si>
  <si>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</si>
  <si>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</si>
  <si>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</si>
  <si>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</si>
  <si>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</si>
  <si>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</si>
  <si>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</si>
  <si>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</si>
  <si>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</si>
  <si>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</si>
  <si>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</si>
  <si>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</si>
  <si>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</si>
  <si>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</si>
  <si>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</si>
  <si>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</si>
  <si>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</si>
  <si>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</si>
  <si>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</si>
  <si>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</si>
  <si>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</si>
  <si>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</si>
  <si>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</si>
  <si>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</si>
  <si>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</si>
  <si>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</si>
  <si>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</si>
  <si>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</si>
  <si>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</si>
  <si>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</si>
  <si>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</si>
  <si>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</si>
  <si>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</si>
  <si>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</si>
  <si>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</si>
  <si>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</si>
  <si>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</si>
  <si>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</si>
  <si>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</si>
  <si>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</si>
  <si>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</si>
  <si>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</si>
  <si>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</si>
  <si>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</si>
  <si>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</si>
  <si>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</si>
  <si>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</si>
  <si>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</si>
  <si>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</si>
  <si>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</si>
  <si>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</si>
  <si>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</si>
  <si>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</si>
  <si>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</si>
  <si>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</si>
  <si>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</si>
  <si>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</si>
  <si>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</si>
  <si>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</si>
  <si>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</si>
  <si>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</si>
  <si>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</si>
  <si>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</si>
  <si>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</si>
  <si>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</si>
  <si>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</si>
  <si>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</si>
  <si>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</si>
  <si>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</si>
  <si>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</si>
  <si>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</si>
  <si>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</si>
  <si>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</si>
  <si>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</si>
  <si>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</si>
  <si>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</si>
  <si>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</si>
  <si>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</si>
  <si>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</si>
  <si>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</si>
  <si>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</si>
  <si>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</si>
  <si>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</si>
  <si>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</si>
  <si>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</si>
  <si>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</si>
  <si>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</si>
  <si>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</si>
  <si>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</si>
  <si>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</si>
  <si>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</si>
  <si>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</si>
  <si>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</si>
  <si>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</si>
  <si>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</si>
  <si>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</si>
  <si>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</si>
  <si>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</si>
  <si>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</si>
  <si>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</si>
  <si>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</si>
  <si>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</si>
  <si>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</si>
  <si>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</si>
  <si>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</si>
  <si>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</si>
  <si>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</si>
  <si>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</si>
  <si>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</si>
  <si>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</si>
  <si>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</si>
  <si>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</si>
  <si>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</si>
  <si>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</si>
  <si>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</si>
  <si>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</si>
  <si>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</si>
  <si>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</si>
  <si>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</si>
  <si>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</si>
  <si>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</si>
  <si>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</si>
  <si>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</si>
  <si>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</si>
  <si>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</si>
  <si>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</si>
  <si>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</si>
  <si>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</si>
  <si>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</si>
  <si>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</si>
  <si>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</si>
  <si>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</si>
  <si>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</si>
  <si>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</si>
  <si>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</si>
  <si>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</si>
  <si>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</si>
  <si>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</si>
  <si>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</si>
  <si>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</si>
  <si>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</si>
  <si>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</si>
  <si>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</si>
  <si>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</si>
  <si>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</si>
  <si>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</si>
  <si>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</si>
  <si>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</si>
  <si>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</si>
  <si>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</si>
  <si>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</si>
  <si>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</si>
  <si>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</si>
  <si>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</si>
  <si>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</si>
  <si>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</si>
  <si>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</si>
  <si>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</si>
  <si>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</si>
  <si>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</si>
  <si>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</si>
  <si>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</si>
  <si>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</si>
  <si>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</si>
  <si>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</si>
  <si>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</si>
  <si>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</si>
  <si>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</si>
  <si>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</si>
  <si>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</si>
  <si>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</si>
  <si>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</si>
  <si>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</si>
  <si>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</si>
  <si>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</si>
  <si>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</si>
  <si>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</si>
  <si>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</si>
  <si>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</si>
  <si>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</si>
  <si>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</si>
  <si>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</si>
  <si>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</si>
  <si>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</si>
  <si>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</si>
  <si>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</si>
  <si>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</si>
  <si>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</si>
  <si>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</si>
  <si>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</si>
  <si>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</si>
  <si>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</si>
  <si>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</si>
  <si>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</si>
  <si>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</si>
  <si>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</si>
  <si>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</si>
  <si>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</si>
  <si>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</si>
  <si>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</si>
  <si>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</si>
  <si>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</si>
  <si>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</si>
  <si>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</si>
  <si>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</si>
  <si>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</si>
  <si>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</si>
  <si>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</si>
  <si>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</si>
  <si>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</si>
  <si>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</si>
  <si>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</si>
  <si>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</si>
  <si>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</si>
  <si>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</si>
  <si>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</si>
  <si>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</si>
  <si>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</si>
  <si>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</si>
  <si>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</si>
  <si>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</si>
  <si>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</si>
  <si>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</si>
  <si>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</si>
  <si>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</si>
  <si>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</si>
  <si>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</si>
  <si>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</si>
  <si>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</si>
  <si>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</si>
  <si>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</si>
  <si>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</si>
  <si>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</si>
  <si>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</si>
  <si>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</si>
  <si>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</si>
  <si>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</si>
  <si>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</si>
  <si>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</si>
  <si>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</si>
  <si>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</si>
  <si>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</si>
  <si>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</si>
  <si>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</si>
  <si>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</si>
  <si>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</si>
  <si>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</si>
  <si>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</si>
  <si>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</si>
  <si>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</si>
  <si>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</si>
  <si>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</si>
  <si>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</si>
  <si>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</si>
  <si>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</si>
  <si>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</si>
  <si>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</si>
  <si>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</si>
  <si>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</si>
  <si>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</si>
  <si>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</si>
  <si>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</si>
  <si>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</si>
  <si>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</si>
  <si>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</si>
  <si>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</si>
  <si>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</si>
  <si>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</si>
  <si>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</si>
  <si>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</si>
  <si>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</si>
  <si>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</si>
  <si>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</si>
  <si>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</si>
  <si>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</si>
  <si>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</si>
  <si>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</si>
  <si>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</si>
  <si>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</si>
  <si>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</si>
  <si>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</si>
  <si>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</si>
  <si>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</si>
  <si>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</si>
  <si>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</si>
  <si>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</si>
  <si>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</si>
  <si>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</si>
  <si>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</si>
  <si>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</si>
  <si>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</si>
  <si>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</si>
  <si>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</si>
  <si>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</si>
  <si>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</si>
  <si>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</si>
  <si>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</si>
  <si>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</si>
  <si>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</si>
  <si>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</si>
  <si>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</si>
  <si>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</si>
  <si>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</si>
  <si>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</si>
  <si>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</si>
  <si>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</si>
  <si>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</si>
  <si>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</si>
  <si>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</si>
  <si>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</si>
  <si>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</si>
  <si>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</si>
  <si>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</si>
  <si>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</si>
  <si>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</si>
  <si>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</si>
  <si>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</si>
  <si>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</si>
  <si>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</si>
  <si>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</si>
  <si>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</si>
  <si>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</si>
  <si>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</si>
  <si>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</si>
  <si>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</si>
  <si>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</si>
  <si>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</si>
  <si>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</si>
  <si>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</si>
  <si>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</si>
  <si>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</si>
  <si>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</si>
  <si>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</si>
  <si>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</si>
  <si>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</si>
  <si>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</si>
  <si>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</si>
  <si>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</si>
  <si>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</si>
  <si>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</si>
  <si>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</si>
  <si>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</si>
  <si>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</si>
  <si>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</si>
  <si>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</si>
  <si>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</si>
  <si>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</si>
  <si>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</si>
  <si>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</si>
  <si>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</si>
  <si>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</si>
  <si>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</si>
  <si>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</si>
  <si>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</si>
  <si>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</si>
  <si>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</si>
  <si>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</si>
  <si>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</si>
  <si>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</si>
  <si>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</si>
  <si>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</si>
  <si>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</si>
  <si>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</si>
  <si>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</si>
  <si>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</si>
  <si>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</si>
  <si>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</si>
  <si>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</si>
  <si>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</si>
  <si>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</si>
  <si>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</si>
  <si>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</si>
  <si>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</si>
  <si>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</si>
  <si>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</si>
  <si>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</si>
  <si>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</si>
  <si>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</si>
  <si>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</si>
  <si>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</si>
  <si>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</si>
  <si>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</si>
  <si>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</si>
  <si>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</si>
  <si>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</si>
  <si>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</si>
  <si>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</si>
  <si>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</si>
  <si>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</si>
  <si>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</si>
  <si>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</si>
  <si>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</si>
  <si>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</si>
  <si>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</si>
  <si>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</si>
  <si>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</si>
  <si>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</si>
  <si>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</si>
  <si>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</si>
  <si>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</si>
  <si>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</si>
  <si>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</si>
  <si>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</si>
  <si>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</si>
  <si>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</si>
  <si>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</si>
  <si>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</si>
  <si>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</si>
  <si>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</si>
  <si>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</si>
  <si>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</si>
  <si>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</si>
  <si>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</si>
  <si>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</si>
  <si>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</si>
  <si>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</si>
  <si>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</si>
  <si>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</si>
  <si>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</si>
  <si>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</si>
  <si>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</si>
  <si>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</si>
  <si>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</si>
  <si>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</si>
  <si>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</si>
  <si>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</si>
  <si>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</si>
  <si>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</si>
  <si>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</si>
  <si>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</si>
  <si>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</si>
  <si>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</si>
  <si>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</si>
  <si>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</si>
  <si>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</si>
  <si>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</si>
  <si>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</si>
  <si>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</si>
  <si>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</si>
  <si>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</si>
  <si>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</si>
  <si>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</si>
  <si>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</si>
  <si>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</si>
  <si>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</si>
  <si>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</si>
  <si>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</si>
  <si>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</si>
  <si>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</si>
  <si>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</si>
  <si>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</si>
  <si>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</si>
  <si>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</si>
  <si>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</si>
  <si>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</si>
  <si>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</si>
  <si>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</si>
  <si>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</si>
  <si>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</si>
  <si>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</si>
  <si>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</si>
  <si>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</si>
  <si>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</si>
  <si>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</si>
  <si>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</si>
  <si>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</si>
  <si>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</si>
  <si>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</si>
  <si>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</si>
  <si>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</si>
  <si>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</si>
  <si>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</si>
  <si>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</si>
  <si>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</si>
  <si>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</si>
  <si>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</si>
  <si>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</si>
  <si>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</si>
  <si>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</si>
  <si>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</si>
  <si>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</si>
  <si>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</si>
  <si>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</si>
  <si>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</si>
  <si>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</si>
  <si>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</si>
  <si>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</si>
  <si>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</si>
  <si>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</si>
  <si>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</si>
  <si>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</si>
  <si>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</si>
  <si>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</si>
  <si>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</si>
  <si>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</si>
  <si>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</si>
  <si>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</si>
  <si>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</si>
  <si>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</si>
  <si>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</si>
  <si>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</si>
  <si>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</si>
  <si>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</si>
  <si>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</si>
  <si>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</si>
  <si>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</si>
  <si>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</si>
  <si>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</si>
  <si>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</si>
  <si>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</si>
  <si>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</si>
  <si>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</si>
  <si>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</si>
  <si>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</si>
  <si>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</si>
  <si>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</si>
  <si>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</si>
  <si>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</si>
  <si>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</si>
  <si>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</si>
  <si>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</si>
  <si>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</si>
  <si>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</si>
  <si>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</si>
  <si>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</si>
  <si>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</si>
  <si>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</si>
  <si>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</si>
  <si>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</si>
  <si>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</si>
  <si>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</si>
  <si>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</si>
  <si>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</si>
  <si>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</si>
  <si>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</si>
  <si>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</si>
  <si>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</si>
  <si>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</si>
  <si>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</si>
  <si>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</si>
  <si>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</si>
  <si>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</si>
  <si>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</si>
  <si>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</si>
  <si>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</si>
  <si>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</si>
  <si>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</si>
  <si>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</si>
  <si>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</si>
  <si>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</si>
  <si>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</si>
  <si>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</si>
  <si>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</si>
  <si>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</si>
  <si>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</si>
  <si>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</si>
  <si>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</si>
  <si>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</si>
  <si>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</si>
  <si>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</si>
  <si>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</si>
  <si>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</si>
  <si>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</si>
  <si>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</si>
  <si>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</si>
  <si>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</si>
  <si>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</si>
  <si>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</si>
  <si>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</si>
  <si>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</si>
  <si>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</si>
  <si>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</si>
  <si>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</si>
  <si>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</si>
  <si>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</si>
  <si>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</si>
  <si>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</si>
  <si>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</si>
  <si>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</si>
  <si>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</si>
  <si>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</si>
  <si>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</si>
  <si>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</si>
  <si>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</si>
  <si>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</si>
  <si>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</si>
  <si>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</si>
  <si>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</si>
  <si>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</si>
  <si>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</si>
  <si>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</si>
  <si>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</si>
  <si>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</si>
  <si>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</si>
  <si>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</si>
  <si>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</si>
  <si>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</si>
  <si>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1000米以外</t>
  </si>
  <si>
    <t>与级别开发程度一致</t>
  </si>
  <si>
    <t>通路</t>
  </si>
  <si>
    <t>通电</t>
  </si>
  <si>
    <t>通讯</t>
  </si>
  <si>
    <t>通上水</t>
  </si>
  <si>
    <t>通下水</t>
  </si>
  <si>
    <t>通热</t>
  </si>
  <si>
    <t>燃气</t>
  </si>
  <si>
    <t>平整</t>
  </si>
  <si>
    <t>居住用地（指二类居住用地）</t>
  </si>
  <si>
    <t>区县</t>
  </si>
  <si>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</si>
  <si>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</si>
  <si>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</si>
  <si>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</si>
  <si>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</si>
  <si>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</si>
  <si>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</si>
  <si>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</si>
  <si>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</si>
  <si>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</si>
  <si>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</si>
  <si>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</si>
  <si>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</si>
  <si>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</si>
  <si>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</si>
  <si>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</si>
  <si>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</si>
  <si>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</si>
  <si>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</si>
  <si>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</si>
  <si>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</si>
  <si>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</si>
  <si>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</si>
  <si>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</si>
  <si>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</si>
  <si>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</si>
  <si>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</si>
  <si>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</si>
  <si>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</si>
  <si>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</si>
  <si>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</si>
  <si>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</si>
  <si>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</si>
  <si>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</si>
  <si>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</si>
  <si>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</si>
  <si>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</si>
  <si>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</si>
  <si>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</si>
  <si>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</si>
  <si>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</si>
  <si>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</si>
  <si>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</si>
  <si>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</si>
  <si>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</si>
  <si>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</si>
  <si>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</si>
  <si>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</si>
  <si>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</si>
  <si>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</si>
  <si>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</si>
  <si>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</si>
  <si>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</si>
  <si>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</si>
  <si>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</si>
  <si>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</si>
  <si>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</si>
  <si>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</si>
  <si>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</si>
  <si>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</si>
  <si>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</si>
  <si>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</si>
  <si>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</si>
  <si>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</si>
  <si>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</si>
  <si>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</si>
  <si>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</si>
  <si>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</si>
  <si>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</si>
  <si>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</si>
  <si>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</si>
  <si>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</si>
  <si>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</si>
  <si>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</si>
  <si>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</si>
  <si>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</si>
  <si>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</si>
  <si>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</si>
  <si>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</si>
  <si>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</si>
  <si>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</si>
  <si>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</si>
  <si>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</si>
  <si>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</si>
  <si>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</si>
  <si>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</si>
  <si>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</si>
  <si>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</si>
  <si>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</si>
  <si>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</si>
  <si>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</si>
  <si>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</si>
  <si>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</si>
  <si>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</si>
  <si>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</si>
  <si>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</si>
  <si>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</si>
  <si>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</si>
  <si>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</si>
  <si>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</si>
  <si>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</si>
  <si>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</si>
  <si>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</si>
  <si>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</si>
  <si>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</si>
  <si>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</si>
  <si>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</si>
  <si>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</si>
  <si>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</si>
  <si>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</si>
  <si>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</si>
  <si>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</si>
  <si>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</si>
  <si>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</si>
  <si>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</si>
  <si>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</si>
  <si>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</si>
  <si>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</si>
  <si>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</si>
  <si>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</si>
  <si>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</si>
  <si>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</si>
  <si>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</si>
  <si>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</si>
  <si>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</si>
  <si>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</si>
  <si>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</si>
  <si>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</si>
  <si>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</si>
  <si>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</si>
  <si>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</si>
  <si>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</si>
  <si>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</si>
  <si>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</si>
  <si>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</si>
  <si>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</si>
  <si>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</si>
  <si>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</si>
  <si>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</si>
  <si>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</si>
  <si>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</si>
  <si>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</si>
  <si>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</si>
  <si>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</si>
  <si>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</si>
  <si>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</si>
  <si>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</si>
  <si>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</si>
  <si>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</si>
  <si>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</si>
  <si>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</si>
  <si>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</si>
  <si>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</si>
  <si>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</si>
  <si>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</si>
  <si>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</si>
  <si>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</si>
  <si>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</si>
  <si>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</si>
  <si>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</si>
  <si>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</si>
  <si>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</si>
  <si>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</si>
  <si>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</si>
  <si>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</si>
  <si>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</si>
  <si>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</si>
  <si>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</si>
  <si>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</si>
  <si>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</si>
  <si>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</si>
  <si>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</si>
  <si>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</si>
  <si>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</si>
  <si>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</si>
  <si>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</si>
  <si>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</si>
  <si>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</si>
  <si>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</si>
  <si>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</si>
  <si>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</si>
  <si>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t>私有产</t>
    <phoneticPr fontId="7" type="noConversion"/>
  </si>
  <si>
    <t>住宅</t>
    <phoneticPr fontId="7" type="noConversion"/>
  </si>
  <si>
    <t>与房产证证载一致</t>
  </si>
  <si>
    <t>房屋所有权证</t>
  </si>
  <si>
    <t>复印件</t>
  </si>
  <si>
    <t>《房屋所有权证》</t>
  </si>
  <si>
    <t>龙跃苑二区</t>
    <phoneticPr fontId="20" type="noConversion"/>
  </si>
  <si>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</si>
  <si>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</si>
  <si>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</si>
  <si>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</si>
  <si>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</si>
  <si>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</si>
  <si>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</si>
  <si>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</si>
  <si>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</si>
  <si>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</si>
  <si>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</si>
  <si>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</si>
  <si>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已包含在土地购买价格中</t>
  </si>
  <si>
    <t>昌平区回龙观镇龙跃苑东四区8号楼</t>
    <phoneticPr fontId="7" type="noConversion"/>
  </si>
  <si>
    <t>50-60（含）</t>
  </si>
  <si>
    <t>混合</t>
  </si>
  <si>
    <t>混合</t>
    <phoneticPr fontId="20" type="noConversion"/>
  </si>
  <si>
    <t>龙跃苑东二区</t>
    <phoneticPr fontId="20" type="noConversion"/>
  </si>
  <si>
    <t>龙跃苑四区</t>
    <phoneticPr fontId="20" type="noConversion"/>
  </si>
  <si>
    <t>成本法成本比率</t>
  </si>
  <si>
    <t>七通</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</si>
</sst>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0.00\)"/>
    <numFmt numFmtId="197" formatCode="[DBNum1][$-804]yyyy&quot;年&quot;m&quot;月&quot;d&quot;日&quot;"/>
    <numFmt numFmtId="198" formatCode="[DBNum1][$-804]yyyy&quot;年&quot;m&quot;月&quot;"/>
    <numFmt numFmtId="199"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3" fontId="255" fillId="0" borderId="0" applyFont="0" applyFill="0" applyBorder="0" applyAlignment="0" applyProtection="0">
      <alignment vertical="center"/>
    </xf>
  </cellStyleXfs>
  <cellXfs count="36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43" fontId="93" fillId="0" borderId="1" xfId="14" applyFont="1" applyBorder="1" applyAlignment="1">
      <alignment horizontal="center" vertical="center"/>
    </xf>
    <xf numFmtId="0" fontId="93" fillId="0" borderId="1" xfId="0" applyFont="1" applyBorder="1" applyAlignment="1">
      <alignment horizontal="center" vertical="center"/>
    </xf>
    <xf numFmtId="43" fontId="93" fillId="0" borderId="1" xfId="0" applyNumberFormat="1" applyFont="1" applyBorder="1" applyAlignment="1">
      <alignment horizontal="center" vertical="center"/>
    </xf>
    <xf numFmtId="0" fontId="254" fillId="0" borderId="0" xfId="0" applyFont="1" applyFill="1">
      <alignment vertical="center"/>
    </xf>
    <xf numFmtId="43"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7"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1" fontId="16" fillId="6" borderId="1" xfId="0" applyNumberFormat="1" applyFont="1" applyFill="1" applyBorder="1" applyAlignment="1"/>
    <xf numFmtId="184"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79"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6" fontId="136" fillId="0" borderId="1" xfId="0" applyNumberFormat="1" applyFont="1" applyFill="1" applyBorder="1" applyAlignment="1">
      <alignment horizontal="center"/>
    </xf>
    <xf numFmtId="186" fontId="136" fillId="0" borderId="1" xfId="0" applyNumberFormat="1" applyFont="1" applyFill="1" applyBorder="1" applyAlignment="1">
      <alignment horizontal="center"/>
    </xf>
    <xf numFmtId="182"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6"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7" fontId="230" fillId="0" borderId="1" xfId="0" applyNumberFormat="1" applyFont="1" applyFill="1" applyBorder="1" applyAlignment="1">
      <alignment horizontal="center"/>
    </xf>
    <xf numFmtId="198" fontId="230" fillId="0" borderId="1" xfId="0" applyNumberFormat="1" applyFont="1" applyFill="1" applyBorder="1" applyAlignment="1">
      <alignment horizontal="center"/>
    </xf>
    <xf numFmtId="186" fontId="136" fillId="0" borderId="1" xfId="0" applyNumberFormat="1" applyFont="1" applyFill="1" applyBorder="1" applyAlignment="1">
      <alignment horizontal="left"/>
    </xf>
    <xf numFmtId="186"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8" fontId="16" fillId="0" borderId="1" xfId="0" applyNumberFormat="1" applyFont="1" applyFill="1" applyBorder="1" applyAlignment="1"/>
    <xf numFmtId="189"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1"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8" fontId="136" fillId="0" borderId="1" xfId="0" applyNumberFormat="1" applyFont="1" applyFill="1" applyBorder="1" applyAlignment="1">
      <alignment horizontal="center" vertical="center" wrapText="1"/>
    </xf>
    <xf numFmtId="189" fontId="136" fillId="0" borderId="1" xfId="0" applyNumberFormat="1" applyFont="1" applyFill="1" applyBorder="1" applyAlignment="1">
      <alignment horizontal="center" vertical="center" wrapText="1"/>
    </xf>
    <xf numFmtId="179"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6" fontId="16" fillId="21" borderId="1" xfId="0" applyNumberFormat="1" applyFont="1" applyFill="1" applyBorder="1" applyAlignment="1"/>
    <xf numFmtId="186" fontId="16" fillId="21" borderId="1" xfId="0" applyNumberFormat="1" applyFont="1" applyFill="1" applyBorder="1" applyAlignment="1"/>
    <xf numFmtId="182" fontId="16" fillId="21" borderId="1" xfId="0" applyNumberFormat="1" applyFont="1" applyFill="1" applyBorder="1" applyAlignment="1"/>
    <xf numFmtId="31" fontId="16" fillId="21" borderId="1" xfId="0" applyNumberFormat="1" applyFont="1" applyFill="1" applyBorder="1" applyAlignment="1"/>
    <xf numFmtId="193" fontId="16" fillId="21" borderId="1" xfId="0" applyNumberFormat="1" applyFont="1" applyFill="1" applyBorder="1" applyAlignment="1"/>
    <xf numFmtId="198" fontId="16" fillId="21" borderId="1" xfId="0" applyNumberFormat="1" applyFont="1" applyFill="1" applyBorder="1" applyAlignment="1"/>
    <xf numFmtId="199"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1" fontId="16" fillId="21" borderId="1" xfId="0" applyNumberFormat="1" applyFont="1" applyFill="1" applyBorder="1" applyAlignment="1"/>
    <xf numFmtId="184" fontId="16" fillId="21" borderId="1" xfId="0" applyNumberFormat="1" applyFont="1" applyFill="1" applyBorder="1" applyAlignment="1"/>
    <xf numFmtId="0" fontId="75" fillId="21" borderId="0" xfId="0" applyFont="1" applyFill="1" applyAlignment="1"/>
    <xf numFmtId="179"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6" fontId="16" fillId="6" borderId="1" xfId="0" applyNumberFormat="1" applyFont="1" applyFill="1" applyBorder="1" applyAlignment="1"/>
    <xf numFmtId="186" fontId="16" fillId="6" borderId="1" xfId="0" applyNumberFormat="1" applyFont="1" applyFill="1" applyBorder="1" applyAlignment="1"/>
    <xf numFmtId="182" fontId="16" fillId="6" borderId="1" xfId="0" applyNumberFormat="1" applyFont="1" applyFill="1" applyBorder="1" applyAlignment="1"/>
    <xf numFmtId="31" fontId="16" fillId="6" borderId="1" xfId="0" applyNumberFormat="1" applyFont="1" applyFill="1" applyBorder="1" applyAlignment="1"/>
    <xf numFmtId="193" fontId="16" fillId="6" borderId="1" xfId="0" applyNumberFormat="1" applyFont="1" applyFill="1" applyBorder="1" applyAlignment="1"/>
    <xf numFmtId="198" fontId="16" fillId="6" borderId="1" xfId="0" applyNumberFormat="1" applyFont="1" applyFill="1" applyBorder="1" applyAlignment="1"/>
    <xf numFmtId="199"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1" fontId="16" fillId="9" borderId="1" xfId="0" applyNumberFormat="1" applyFont="1" applyFill="1" applyBorder="1" applyAlignment="1"/>
    <xf numFmtId="184"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79"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6" fontId="16" fillId="9" borderId="1" xfId="0" applyNumberFormat="1" applyFont="1" applyFill="1" applyBorder="1" applyAlignment="1"/>
    <xf numFmtId="186" fontId="16" fillId="9" borderId="1" xfId="0" applyNumberFormat="1" applyFont="1" applyFill="1" applyBorder="1" applyAlignment="1"/>
    <xf numFmtId="182" fontId="16" fillId="9" borderId="1" xfId="0" applyNumberFormat="1" applyFont="1" applyFill="1" applyBorder="1" applyAlignment="1"/>
    <xf numFmtId="31" fontId="16" fillId="9" borderId="1" xfId="0" applyNumberFormat="1" applyFont="1" applyFill="1" applyBorder="1" applyAlignment="1"/>
    <xf numFmtId="193" fontId="16" fillId="9" borderId="1" xfId="0" applyNumberFormat="1" applyFont="1" applyFill="1" applyBorder="1" applyAlignment="1"/>
    <xf numFmtId="198" fontId="16" fillId="9" borderId="1" xfId="0" applyNumberFormat="1" applyFont="1" applyFill="1" applyBorder="1" applyAlignment="1"/>
    <xf numFmtId="199" fontId="16" fillId="9" borderId="1" xfId="0" applyNumberFormat="1" applyFont="1" applyFill="1" applyBorder="1" applyAlignment="1"/>
    <xf numFmtId="43"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184" fontId="235" fillId="6" borderId="1" xfId="0" applyNumberFormat="1" applyFont="1" applyFill="1" applyBorder="1" applyAlignment="1" applyProtection="1">
      <alignment horizontal="left" vertical="center" shrinkToFit="1"/>
      <protection locked="0"/>
    </xf>
    <xf numFmtId="0" fontId="108" fillId="6" borderId="0" xfId="0"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39" fillId="0" borderId="1" xfId="0" applyFont="1" applyBorder="1" applyAlignment="1" applyProtection="1">
      <alignment horizontal="left" vertical="center"/>
      <protection locked="0"/>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323850</xdr:colOff>
      <xdr:row>22</xdr:row>
      <xdr:rowOff>0</xdr:rowOff>
    </xdr:from>
    <xdr:to>
      <xdr:col>20</xdr:col>
      <xdr:colOff>560489</xdr:colOff>
      <xdr:row>28</xdr:row>
      <xdr:rowOff>9410</xdr:rowOff>
    </xdr:to>
    <xdr:pic>
      <xdr:nvPicPr>
        <xdr:cNvPr id="5" name="图片 4"/>
        <xdr:cNvPicPr>
          <a:picLocks noChangeAspect="1"/>
        </xdr:cNvPicPr>
      </xdr:nvPicPr>
      <xdr:blipFill>
        <a:blip xmlns:r="http://schemas.openxmlformats.org/officeDocument/2006/relationships" r:embed="rId1"/>
        <a:stretch>
          <a:fillRect/>
        </a:stretch>
      </xdr:blipFill>
      <xdr:spPr>
        <a:xfrm>
          <a:off x="2667000" y="3971925"/>
          <a:ext cx="11895239" cy="923810"/>
        </a:xfrm>
        <a:prstGeom prst="rect">
          <a:avLst/>
        </a:prstGeom>
      </xdr:spPr>
    </xdr:pic>
    <xdr:clientData/>
  </xdr:twoCellAnchor>
  <xdr:twoCellAnchor editAs="oneCell">
    <xdr:from>
      <xdr:col>3</xdr:col>
      <xdr:colOff>361950</xdr:colOff>
      <xdr:row>6</xdr:row>
      <xdr:rowOff>133350</xdr:rowOff>
    </xdr:from>
    <xdr:to>
      <xdr:col>20</xdr:col>
      <xdr:colOff>417637</xdr:colOff>
      <xdr:row>11</xdr:row>
      <xdr:rowOff>209430</xdr:rowOff>
    </xdr:to>
    <xdr:pic>
      <xdr:nvPicPr>
        <xdr:cNvPr id="11" name="图片 10"/>
        <xdr:cNvPicPr>
          <a:picLocks noChangeAspect="1"/>
        </xdr:cNvPicPr>
      </xdr:nvPicPr>
      <xdr:blipFill>
        <a:blip xmlns:r="http://schemas.openxmlformats.org/officeDocument/2006/relationships" r:embed="rId2"/>
        <a:stretch>
          <a:fillRect/>
        </a:stretch>
      </xdr:blipFill>
      <xdr:spPr>
        <a:xfrm>
          <a:off x="2705100" y="1047750"/>
          <a:ext cx="11714287" cy="961905"/>
        </a:xfrm>
        <a:prstGeom prst="rect">
          <a:avLst/>
        </a:prstGeom>
      </xdr:spPr>
    </xdr:pic>
    <xdr:clientData/>
  </xdr:twoCellAnchor>
  <xdr:twoCellAnchor editAs="oneCell">
    <xdr:from>
      <xdr:col>3</xdr:col>
      <xdr:colOff>285750</xdr:colOff>
      <xdr:row>15</xdr:row>
      <xdr:rowOff>47625</xdr:rowOff>
    </xdr:from>
    <xdr:to>
      <xdr:col>20</xdr:col>
      <xdr:colOff>312865</xdr:colOff>
      <xdr:row>21</xdr:row>
      <xdr:rowOff>85606</xdr:rowOff>
    </xdr:to>
    <xdr:pic>
      <xdr:nvPicPr>
        <xdr:cNvPr id="12" name="图片 11"/>
        <xdr:cNvPicPr>
          <a:picLocks noChangeAspect="1"/>
        </xdr:cNvPicPr>
      </xdr:nvPicPr>
      <xdr:blipFill>
        <a:blip xmlns:r="http://schemas.openxmlformats.org/officeDocument/2006/relationships" r:embed="rId3"/>
        <a:stretch>
          <a:fillRect/>
        </a:stretch>
      </xdr:blipFill>
      <xdr:spPr>
        <a:xfrm>
          <a:off x="2628900" y="2952750"/>
          <a:ext cx="11685715" cy="952381"/>
        </a:xfrm>
        <a:prstGeom prst="rect">
          <a:avLst/>
        </a:prstGeom>
      </xdr:spPr>
    </xdr:pic>
    <xdr:clientData/>
  </xdr:twoCellAnchor>
  <xdr:twoCellAnchor editAs="oneCell">
    <xdr:from>
      <xdr:col>3</xdr:col>
      <xdr:colOff>476250</xdr:colOff>
      <xdr:row>11</xdr:row>
      <xdr:rowOff>247650</xdr:rowOff>
    </xdr:from>
    <xdr:to>
      <xdr:col>20</xdr:col>
      <xdr:colOff>379556</xdr:colOff>
      <xdr:row>15</xdr:row>
      <xdr:rowOff>9417</xdr:rowOff>
    </xdr:to>
    <xdr:pic>
      <xdr:nvPicPr>
        <xdr:cNvPr id="13" name="图片 12"/>
        <xdr:cNvPicPr>
          <a:picLocks noChangeAspect="1"/>
        </xdr:cNvPicPr>
      </xdr:nvPicPr>
      <xdr:blipFill>
        <a:blip xmlns:r="http://schemas.openxmlformats.org/officeDocument/2006/relationships" r:embed="rId4"/>
        <a:stretch>
          <a:fillRect/>
        </a:stretch>
      </xdr:blipFill>
      <xdr:spPr>
        <a:xfrm>
          <a:off x="2819400" y="2047875"/>
          <a:ext cx="11561906" cy="866667"/>
        </a:xfrm>
        <a:prstGeom prst="rect">
          <a:avLst/>
        </a:prstGeom>
      </xdr:spPr>
    </xdr:pic>
    <xdr:clientData/>
  </xdr:twoCellAnchor>
  <xdr:twoCellAnchor editAs="oneCell">
    <xdr:from>
      <xdr:col>3</xdr:col>
      <xdr:colOff>133350</xdr:colOff>
      <xdr:row>28</xdr:row>
      <xdr:rowOff>47625</xdr:rowOff>
    </xdr:from>
    <xdr:to>
      <xdr:col>20</xdr:col>
      <xdr:colOff>208084</xdr:colOff>
      <xdr:row>34</xdr:row>
      <xdr:rowOff>57035</xdr:rowOff>
    </xdr:to>
    <xdr:pic>
      <xdr:nvPicPr>
        <xdr:cNvPr id="15" name="图片 14"/>
        <xdr:cNvPicPr>
          <a:picLocks noChangeAspect="1"/>
        </xdr:cNvPicPr>
      </xdr:nvPicPr>
      <xdr:blipFill>
        <a:blip xmlns:r="http://schemas.openxmlformats.org/officeDocument/2006/relationships" r:embed="rId5"/>
        <a:stretch>
          <a:fillRect/>
        </a:stretch>
      </xdr:blipFill>
      <xdr:spPr>
        <a:xfrm>
          <a:off x="2476500" y="4933950"/>
          <a:ext cx="11733334" cy="923810"/>
        </a:xfrm>
        <a:prstGeom prst="rect">
          <a:avLst/>
        </a:prstGeom>
      </xdr:spPr>
    </xdr:pic>
    <xdr:clientData/>
  </xdr:twoCellAnchor>
  <xdr:twoCellAnchor editAs="oneCell">
    <xdr:from>
      <xdr:col>3</xdr:col>
      <xdr:colOff>361950</xdr:colOff>
      <xdr:row>0</xdr:row>
      <xdr:rowOff>57150</xdr:rowOff>
    </xdr:from>
    <xdr:to>
      <xdr:col>20</xdr:col>
      <xdr:colOff>408113</xdr:colOff>
      <xdr:row>6</xdr:row>
      <xdr:rowOff>104655</xdr:rowOff>
    </xdr:to>
    <xdr:pic>
      <xdr:nvPicPr>
        <xdr:cNvPr id="17" name="图片 16"/>
        <xdr:cNvPicPr>
          <a:picLocks noChangeAspect="1"/>
        </xdr:cNvPicPr>
      </xdr:nvPicPr>
      <xdr:blipFill>
        <a:blip xmlns:r="http://schemas.openxmlformats.org/officeDocument/2006/relationships" r:embed="rId6"/>
        <a:stretch>
          <a:fillRect/>
        </a:stretch>
      </xdr:blipFill>
      <xdr:spPr>
        <a:xfrm>
          <a:off x="2705100" y="57150"/>
          <a:ext cx="11704763" cy="9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北京市昌平区回龙观镇龙跃苑东四区8号楼房地产市场价值预评估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受您的委托，我公司对北京市昌平区回龙观镇龙跃苑东四区8号楼房地产进行了预评估。</v>
      </c>
    </row>
    <row r="7" spans="1:2">
      <c r="A7" s="1210" t="s">
        <v>1100</v>
      </c>
      <c r="B7" s="1197" t="str">
        <f>'预评函-1'!A6</f>
        <v>估价对象为北京市昌平区回龙观镇龙跃苑东四区8号楼房地产，为所有。根据《房屋所有权证》[]，估价对象建筑面积为126.61平方米。估价对象用途为。</v>
      </c>
    </row>
    <row r="8" spans="1:2">
      <c r="A8" s="1210" t="s">
        <v>1101</v>
      </c>
      <c r="B8" s="1197" t="str">
        <f>'预评函-1'!A8</f>
        <v>为估价委托人了解估价对象房地产市场价值提供参考依据。</v>
      </c>
    </row>
    <row r="9" spans="1:2">
      <c r="A9" s="1210" t="s">
        <v>1102</v>
      </c>
      <c r="B9" s="1197" t="str">
        <f>'预评函-1'!A10</f>
        <v>2013年6月18日</v>
      </c>
    </row>
    <row r="10" spans="1:2">
      <c r="A10" s="1210" t="s">
        <v>1103</v>
      </c>
      <c r="B10" s="1197" t="str">
        <f>'预评函-1'!A13</f>
        <v>本次估价的“房地产价值”是指在正常市场情况下，在价值时点2013年6月18日，估价对象规划用途为，假定未设立法定优先受偿款下的房地产市场价值。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北京市昌平区回龙观镇龙跃苑东四区8号楼房地产</v>
      </c>
    </row>
    <row r="18" spans="1:2">
      <c r="A18" s="1210" t="s">
        <v>1111</v>
      </c>
      <c r="B18" s="1197">
        <f>'预评函-2（1）'!C6</f>
        <v>126.61</v>
      </c>
    </row>
    <row r="19" spans="1:2">
      <c r="A19" s="1210" t="s">
        <v>1112</v>
      </c>
      <c r="B19" s="1197">
        <f ca="1">'预评函-2（1）'!D7</f>
        <v>2113501</v>
      </c>
    </row>
    <row r="20" spans="1:2">
      <c r="A20" s="1210" t="s">
        <v>1150</v>
      </c>
      <c r="B20" s="1197" t="str">
        <f>'预评函-2（1）'!C7</f>
        <v>总价（元）</v>
      </c>
    </row>
    <row r="21" spans="1:2">
      <c r="A21" s="1210" t="s">
        <v>1113</v>
      </c>
      <c r="B21" s="1197">
        <f ca="1">'预评函-2（1）'!D9</f>
        <v>16693</v>
      </c>
    </row>
    <row r="22" spans="1:2">
      <c r="A22" s="1210" t="s">
        <v>1114</v>
      </c>
      <c r="B22" s="1197" t="str">
        <f ca="1">'预评函-2（1）'!D8</f>
        <v>贰佰壹拾壹万叁仟伍佰零壹元整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2113501</v>
      </c>
    </row>
    <row r="30" spans="1:2">
      <c r="A30" s="1210" t="s">
        <v>1120</v>
      </c>
      <c r="B30" s="1197" t="str">
        <f ca="1">'预评函-2（1）'!D16</f>
        <v>贰佰壹拾壹万叁仟伍佰零壹元整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1549200</v>
      </c>
    </row>
    <row r="38" spans="1:2">
      <c r="A38" s="1210" t="s">
        <v>1128</v>
      </c>
      <c r="B38" s="1197">
        <f ca="1">'预评函-2（2）'!E4</f>
        <v>12236</v>
      </c>
    </row>
    <row r="39" spans="1:2">
      <c r="A39" s="1210" t="s">
        <v>1129</v>
      </c>
      <c r="B39" s="1197" t="str">
        <f ca="1">'预评函-2（2）'!D5</f>
        <v>壹佰伍拾肆万玖仟贰佰元整</v>
      </c>
    </row>
    <row r="40" spans="1:2">
      <c r="A40" s="1210" t="s">
        <v>1130</v>
      </c>
      <c r="B40" s="1197">
        <f ca="1">'预评函-2（2）'!F4</f>
        <v>564301</v>
      </c>
    </row>
    <row r="41" spans="1:2">
      <c r="A41" s="1210" t="s">
        <v>1131</v>
      </c>
      <c r="B41" s="1197">
        <f ca="1">'预评函-2（2）'!G4</f>
        <v>4457</v>
      </c>
    </row>
    <row r="42" spans="1:2" s="1207" customFormat="1" ht="15.75" thickBot="1">
      <c r="A42" s="1211" t="s">
        <v>1132</v>
      </c>
      <c r="B42" s="1199" t="str">
        <f ca="1">'预评函-2（2）'!F5</f>
        <v>伍拾陆万肆仟叁佰零壹元整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16693</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I13" sqref="I13:I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北京市昌平区回龙观镇龙跃苑东四区8号楼房地产市场价值预评估</v>
      </c>
      <c r="C1" s="823"/>
      <c r="D1" s="823"/>
      <c r="E1" s="823"/>
      <c r="F1" s="1426" t="s">
        <v>1528</v>
      </c>
      <c r="G1" s="1191"/>
      <c r="I1" s="2913" t="str">
        <f>IF(B6="北京市","北京市",C6)&amp;IF(E12="房屋所有权证",B29,E29)&amp;"房地产"</f>
        <v>北京市昌平区回龙观镇龙跃苑东四区8号楼房地产</v>
      </c>
      <c r="J1" s="800"/>
      <c r="K1" s="2915"/>
      <c r="L1" s="2915"/>
      <c r="M1" s="2915"/>
      <c r="N1" s="800"/>
      <c r="O1" s="800"/>
      <c r="P1" s="800"/>
      <c r="Q1" s="800"/>
    </row>
    <row r="2" spans="1:17" ht="13.5" thickTop="1">
      <c r="A2" s="1427" t="s">
        <v>1529</v>
      </c>
      <c r="B2" s="2591"/>
      <c r="C2" s="2885" t="s">
        <v>1530</v>
      </c>
      <c r="D2" s="2591">
        <v>41443</v>
      </c>
      <c r="E2" s="824"/>
      <c r="F2" s="824"/>
      <c r="G2" s="1192"/>
      <c r="H2" s="2897"/>
    </row>
    <row r="3" spans="1:17" ht="13.5" thickBot="1">
      <c r="A3" s="2592" t="s">
        <v>1531</v>
      </c>
      <c r="B3" s="2593" t="s">
        <v>3130</v>
      </c>
      <c r="C3" s="2594">
        <f ca="1">SUMIF(注册房地产估价师,B3,估价师及机构信息!B3:B16)</f>
        <v>1120100036</v>
      </c>
      <c r="D3" s="2593" t="s">
        <v>3131</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39"/>
      <c r="E7" s="825"/>
      <c r="F7" s="825"/>
      <c r="G7" s="1193"/>
    </row>
    <row r="8" spans="1:17" ht="13.5" thickTop="1">
      <c r="A8" s="3304" t="s">
        <v>1540</v>
      </c>
      <c r="B8" s="1438" t="s">
        <v>1541</v>
      </c>
      <c r="C8" s="3316"/>
      <c r="D8" s="3317"/>
      <c r="E8" s="2600" t="s">
        <v>1542</v>
      </c>
      <c r="F8" s="2601" t="s">
        <v>1543</v>
      </c>
      <c r="G8" s="2602" t="str">
        <f>C6</f>
        <v>XX</v>
      </c>
    </row>
    <row r="9" spans="1:17" ht="17.25" customHeight="1">
      <c r="A9" s="3304"/>
      <c r="B9" s="259" t="s">
        <v>1544</v>
      </c>
      <c r="C9" s="1431" t="str">
        <f>B35</f>
        <v>住宅</v>
      </c>
      <c r="D9" s="1439" t="s">
        <v>3115</v>
      </c>
      <c r="E9" s="2891" t="s">
        <v>1545</v>
      </c>
      <c r="F9" s="2603" t="s">
        <v>70</v>
      </c>
      <c r="G9" s="2604"/>
    </row>
    <row r="10" spans="1:17" ht="13.5" thickBot="1">
      <c r="A10" s="3304"/>
      <c r="B10" s="259" t="s">
        <v>1546</v>
      </c>
      <c r="C10" s="3318"/>
      <c r="D10" s="3319"/>
      <c r="E10" s="2892" t="s">
        <v>1547</v>
      </c>
      <c r="F10" s="2605" t="s">
        <v>421</v>
      </c>
      <c r="G10" s="2606"/>
    </row>
    <row r="11" spans="1:17" ht="13.5" thickBot="1">
      <c r="A11" s="3304"/>
      <c r="B11" s="1441" t="s">
        <v>1548</v>
      </c>
      <c r="C11" s="3320"/>
      <c r="D11" s="3321"/>
      <c r="E11" s="811"/>
      <c r="F11" s="811"/>
      <c r="G11" s="830"/>
    </row>
    <row r="12" spans="1:17" ht="13.5" thickBot="1">
      <c r="A12" s="3307" t="s">
        <v>2827</v>
      </c>
      <c r="B12" s="2893" t="s">
        <v>1549</v>
      </c>
      <c r="C12" s="808">
        <v>126.61</v>
      </c>
      <c r="D12" s="1442" t="s">
        <v>1550</v>
      </c>
      <c r="E12" s="1443" t="s">
        <v>3116</v>
      </c>
      <c r="F12" s="1444" t="s">
        <v>1240</v>
      </c>
      <c r="G12" s="830"/>
    </row>
    <row r="13" spans="1:17" ht="21" customHeight="1" thickBot="1">
      <c r="A13" s="3308"/>
      <c r="B13" s="2894" t="s">
        <v>1551</v>
      </c>
      <c r="C13" s="809"/>
      <c r="D13" s="1445" t="s">
        <v>1552</v>
      </c>
      <c r="E13" s="1446" t="s">
        <v>2915</v>
      </c>
      <c r="F13" s="811"/>
      <c r="G13" s="830"/>
      <c r="I13" s="3293"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293"/>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v>1.8</v>
      </c>
      <c r="D15" s="825"/>
      <c r="E15" s="825"/>
      <c r="F15" s="825"/>
      <c r="G15" s="1193"/>
      <c r="I15" s="3293"/>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2935</v>
      </c>
      <c r="D16" s="1440" t="s">
        <v>1557</v>
      </c>
      <c r="E16" s="2611" t="s">
        <v>2935</v>
      </c>
      <c r="F16" s="1448" t="str">
        <f>IF(AND(C16="是",E16="否"),"是否提供他项权证或相关说明","")</f>
        <v/>
      </c>
      <c r="G16" s="2611" t="s">
        <v>2935</v>
      </c>
      <c r="J16" s="2897"/>
    </row>
    <row r="17" spans="1:66" ht="13.5" customHeight="1">
      <c r="A17" s="1454" t="s">
        <v>1558</v>
      </c>
      <c r="B17" s="3322" t="s">
        <v>1559</v>
      </c>
      <c r="C17" s="3323"/>
      <c r="D17" s="3324" t="s">
        <v>1560</v>
      </c>
      <c r="E17" s="3325"/>
      <c r="F17" s="1449" t="s">
        <v>1561</v>
      </c>
      <c r="G17" s="1450"/>
      <c r="J17" s="2897"/>
    </row>
    <row r="18" spans="1:66" ht="24">
      <c r="A18" s="1454"/>
      <c r="B18" s="2612" t="s">
        <v>3118</v>
      </c>
      <c r="C18" s="1434" t="s">
        <v>3117</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03" t="s">
        <v>2826</v>
      </c>
      <c r="B24" s="3303"/>
      <c r="C24" s="3303"/>
      <c r="D24" s="3303"/>
      <c r="E24" s="3303"/>
      <c r="F24" s="3303"/>
      <c r="G24" s="3303"/>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310" t="s">
        <v>1573</v>
      </c>
      <c r="D28" s="3311"/>
      <c r="E28" s="801"/>
      <c r="F28" s="803" t="s">
        <v>1573</v>
      </c>
      <c r="G28" s="801"/>
      <c r="K28" s="2898"/>
    </row>
    <row r="29" spans="1:66" ht="24">
      <c r="A29" s="804" t="s">
        <v>1574</v>
      </c>
      <c r="B29" s="3237" t="s">
        <v>3133</v>
      </c>
      <c r="C29" s="3312" t="s">
        <v>1575</v>
      </c>
      <c r="D29" s="3313"/>
      <c r="E29" s="798"/>
      <c r="F29" s="804" t="s">
        <v>1575</v>
      </c>
      <c r="G29" s="798"/>
      <c r="K29" s="2898"/>
    </row>
    <row r="30" spans="1:66">
      <c r="A30" s="804" t="s">
        <v>1576</v>
      </c>
      <c r="B30" s="3237" t="s">
        <v>3113</v>
      </c>
      <c r="C30" s="3312" t="s">
        <v>1576</v>
      </c>
      <c r="D30" s="3313"/>
      <c r="E30" s="798"/>
      <c r="F30" s="804" t="s">
        <v>1577</v>
      </c>
      <c r="G30" s="798"/>
      <c r="K30" s="2898"/>
    </row>
    <row r="31" spans="1:66">
      <c r="A31" s="804" t="s">
        <v>1578</v>
      </c>
      <c r="B31" s="798"/>
      <c r="C31" s="3300" t="s">
        <v>1579</v>
      </c>
      <c r="D31" s="811"/>
      <c r="E31" s="2626" t="str">
        <f>E32&amp;" "&amp;E33&amp;" "&amp;E34&amp;" "&amp;E35</f>
        <v xml:space="preserve">   </v>
      </c>
      <c r="F31" s="804" t="s">
        <v>1580</v>
      </c>
      <c r="G31" s="798"/>
    </row>
    <row r="32" spans="1:66">
      <c r="A32" s="804" t="s">
        <v>1581</v>
      </c>
      <c r="B32" s="798"/>
      <c r="C32" s="3301"/>
      <c r="D32" s="259" t="s">
        <v>1582</v>
      </c>
      <c r="E32" s="798"/>
      <c r="F32" s="804" t="s">
        <v>1583</v>
      </c>
      <c r="G32" s="798"/>
    </row>
    <row r="33" spans="1:7" ht="24.75" thickBot="1">
      <c r="A33" s="805" t="s">
        <v>1584</v>
      </c>
      <c r="B33" s="802"/>
      <c r="C33" s="3301"/>
      <c r="D33" s="259" t="s">
        <v>1585</v>
      </c>
      <c r="E33" s="798"/>
      <c r="F33" s="804" t="s">
        <v>1586</v>
      </c>
      <c r="G33" s="798"/>
    </row>
    <row r="34" spans="1:7" ht="13.5" thickBot="1">
      <c r="A34" s="803" t="s">
        <v>1587</v>
      </c>
      <c r="B34" s="3238"/>
      <c r="C34" s="3301"/>
      <c r="D34" s="259" t="s">
        <v>1588</v>
      </c>
      <c r="E34" s="798"/>
      <c r="F34" s="804" t="s">
        <v>1589</v>
      </c>
      <c r="G34" s="798"/>
    </row>
    <row r="35" spans="1:7" ht="13.5" thickBot="1">
      <c r="A35" s="804" t="s">
        <v>1590</v>
      </c>
      <c r="B35" s="3238" t="s">
        <v>3114</v>
      </c>
      <c r="C35" s="3302"/>
      <c r="D35" s="259" t="s">
        <v>1591</v>
      </c>
      <c r="E35" s="798"/>
      <c r="F35" s="805" t="s">
        <v>1592</v>
      </c>
      <c r="G35" s="2627"/>
    </row>
    <row r="36" spans="1:7">
      <c r="A36" s="804" t="s">
        <v>1549</v>
      </c>
      <c r="B36" s="798">
        <v>120</v>
      </c>
      <c r="C36" s="3312" t="s">
        <v>1593</v>
      </c>
      <c r="D36" s="3313"/>
      <c r="E36" s="798"/>
      <c r="F36" s="2628" t="s">
        <v>1594</v>
      </c>
      <c r="G36" s="801"/>
    </row>
    <row r="37" spans="1:7" ht="13.5" thickBot="1">
      <c r="A37" s="804" t="s">
        <v>1595</v>
      </c>
      <c r="B37" s="798"/>
      <c r="C37" s="3314" t="s">
        <v>1596</v>
      </c>
      <c r="D37" s="3315"/>
      <c r="E37" s="802"/>
      <c r="F37" s="1462" t="s">
        <v>1597</v>
      </c>
      <c r="G37" s="798"/>
    </row>
    <row r="38" spans="1:7" ht="13.5" thickBot="1">
      <c r="A38" s="804" t="s">
        <v>1598</v>
      </c>
      <c r="B38" s="798"/>
      <c r="C38" s="3298" t="s">
        <v>1599</v>
      </c>
      <c r="D38" s="1442" t="s">
        <v>1583</v>
      </c>
      <c r="E38" s="801"/>
      <c r="F38" s="805" t="s">
        <v>1600</v>
      </c>
      <c r="G38" s="802"/>
    </row>
    <row r="39" spans="1:7">
      <c r="A39" s="804" t="s">
        <v>1601</v>
      </c>
      <c r="B39" s="798">
        <v>6</v>
      </c>
      <c r="C39" s="3305"/>
      <c r="D39" s="259" t="s">
        <v>1590</v>
      </c>
      <c r="E39" s="798"/>
      <c r="F39" s="803" t="s">
        <v>1602</v>
      </c>
      <c r="G39" s="801"/>
    </row>
    <row r="40" spans="1:7">
      <c r="A40" s="804" t="s">
        <v>1603</v>
      </c>
      <c r="B40" s="798">
        <v>6</v>
      </c>
      <c r="C40" s="3305" t="s">
        <v>1604</v>
      </c>
      <c r="D40" s="259" t="s">
        <v>1549</v>
      </c>
      <c r="E40" s="798"/>
      <c r="F40" s="804" t="s">
        <v>1605</v>
      </c>
      <c r="G40" s="798"/>
    </row>
    <row r="41" spans="1:7" ht="24.75" customHeight="1" thickBot="1">
      <c r="A41" s="805" t="s">
        <v>1606</v>
      </c>
      <c r="B41" s="802">
        <v>2005</v>
      </c>
      <c r="C41" s="3306"/>
      <c r="D41" s="1445" t="s">
        <v>1551</v>
      </c>
      <c r="E41" s="802"/>
      <c r="F41" s="805" t="s">
        <v>1607</v>
      </c>
      <c r="G41" s="802"/>
    </row>
    <row r="42" spans="1:7">
      <c r="A42" s="806" t="s">
        <v>1608</v>
      </c>
      <c r="B42" s="2629"/>
      <c r="C42" s="3294" t="s">
        <v>1608</v>
      </c>
      <c r="D42" s="3295"/>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96" t="s">
        <v>1611</v>
      </c>
      <c r="D49" s="3297"/>
      <c r="E49" s="820"/>
      <c r="F49" s="805" t="s">
        <v>1612</v>
      </c>
      <c r="G49" s="802"/>
    </row>
    <row r="50" spans="1:66">
      <c r="A50" s="804" t="s">
        <v>1613</v>
      </c>
      <c r="B50" s="819"/>
      <c r="C50" s="3298" t="s">
        <v>1614</v>
      </c>
      <c r="D50" s="3299"/>
      <c r="E50" s="2631"/>
      <c r="F50" s="837"/>
      <c r="G50" s="838"/>
    </row>
    <row r="51" spans="1:66" ht="13.5" thickBot="1">
      <c r="A51" s="804" t="s">
        <v>1615</v>
      </c>
      <c r="B51" s="819"/>
      <c r="C51" s="3306" t="s">
        <v>1616</v>
      </c>
      <c r="D51" s="3309"/>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6" t="s">
        <v>0</v>
      </c>
      <c r="B1" s="3326" t="s">
        <v>2</v>
      </c>
      <c r="C1" s="3326" t="s">
        <v>3</v>
      </c>
      <c r="D1" s="3327" t="s">
        <v>67</v>
      </c>
      <c r="E1" s="3327" t="s">
        <v>68</v>
      </c>
      <c r="F1" s="3327"/>
      <c r="G1" s="3327"/>
      <c r="H1" s="3327"/>
      <c r="I1" s="3327"/>
      <c r="J1" s="3327"/>
      <c r="K1" s="3327"/>
      <c r="L1" s="3327"/>
      <c r="M1" s="3327"/>
    </row>
    <row r="2" spans="1:13" ht="27" customHeight="1">
      <c r="A2" s="3326"/>
      <c r="B2" s="3326"/>
      <c r="C2" s="3326"/>
      <c r="D2" s="3327"/>
      <c r="E2" s="3327" t="s">
        <v>51</v>
      </c>
      <c r="F2" s="3327" t="s">
        <v>52</v>
      </c>
      <c r="G2" s="3327"/>
      <c r="H2" s="3327"/>
      <c r="I2" s="3327"/>
      <c r="J2" s="3327" t="s">
        <v>53</v>
      </c>
      <c r="K2" s="3327"/>
      <c r="L2" s="3327"/>
      <c r="M2" s="3327"/>
    </row>
    <row r="3" spans="1:13" ht="28.5">
      <c r="A3" s="3326"/>
      <c r="B3" s="3326"/>
      <c r="C3" s="3326"/>
      <c r="D3" s="3327"/>
      <c r="E3" s="33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7" t="s">
        <v>69</v>
      </c>
      <c r="B9" s="3327"/>
      <c r="C9" s="33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M44" sqref="M44"/>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41443</v>
      </c>
      <c r="C2" s="1684"/>
      <c r="D2" s="3328"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9"/>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9"/>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126.61</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150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40">
        <v>67010</v>
      </c>
      <c r="C12" s="1684"/>
      <c r="D12" s="2924" t="s">
        <v>1635</v>
      </c>
      <c r="E12" s="2649">
        <v>190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70</v>
      </c>
      <c r="C13" s="2961"/>
      <c r="D13" s="2927" t="s">
        <v>1637</v>
      </c>
      <c r="E13" s="2650">
        <f>ROUND(E11*项目基本情况!C12,0)</f>
        <v>18992</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1</v>
      </c>
      <c r="C14" s="1684"/>
      <c r="D14" s="2929" t="s">
        <v>1640</v>
      </c>
      <c r="E14" s="2651">
        <v>150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150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0.05</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2500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316525</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ROUND(1-(1-2%)*(2013-2005)/50,2)</f>
        <v>0.84</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0.02</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150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1.4999999999999999E-2</v>
      </c>
      <c r="F25" s="2667" t="s">
        <v>2845</v>
      </c>
      <c r="I25" s="2962"/>
    </row>
    <row r="26" spans="1:41" ht="15" thickBot="1">
      <c r="A26" s="2940" t="s">
        <v>1657</v>
      </c>
      <c r="B26" s="2944">
        <f>B22-B23</f>
        <v>0</v>
      </c>
      <c r="D26" s="2924" t="s">
        <v>1660</v>
      </c>
      <c r="E26" s="2660">
        <v>0.01</v>
      </c>
      <c r="F26" s="2667" t="s">
        <v>2845</v>
      </c>
      <c r="G26" s="2963"/>
      <c r="H26" s="2963"/>
      <c r="I26" s="1684"/>
      <c r="J26" s="1684"/>
      <c r="K26" s="1684"/>
      <c r="L26" s="1684"/>
      <c r="M26" s="1684"/>
      <c r="N26" s="1684"/>
    </row>
    <row r="27" spans="1:41" ht="15.75" thickBot="1">
      <c r="A27" s="2945" t="s">
        <v>1659</v>
      </c>
      <c r="B27" s="3161">
        <v>2005</v>
      </c>
      <c r="C27" s="1684"/>
      <c r="D27" s="2924" t="s">
        <v>1661</v>
      </c>
      <c r="E27" s="2946">
        <f ca="1">存贷款利率!G1</f>
        <v>6.1500000000000006E-2</v>
      </c>
      <c r="F27" s="2658" t="s">
        <v>1662</v>
      </c>
      <c r="G27" s="2963"/>
      <c r="H27" s="2963"/>
      <c r="K27" s="1684"/>
      <c r="N27" s="1684"/>
    </row>
    <row r="28" spans="1:41" ht="15" thickBot="1">
      <c r="A28" s="947"/>
      <c r="B28" s="947"/>
      <c r="D28" s="2927" t="s">
        <v>1664</v>
      </c>
      <c r="E28" s="2663">
        <v>0.05</v>
      </c>
      <c r="G28" s="2963"/>
      <c r="H28" s="2963"/>
      <c r="K28" s="1684"/>
      <c r="N28" s="1684"/>
    </row>
    <row r="29" spans="1:41" ht="14.25">
      <c r="A29" s="2947" t="s">
        <v>1663</v>
      </c>
      <c r="B29" s="2662"/>
      <c r="D29" s="2929" t="s">
        <v>1665</v>
      </c>
      <c r="E29" s="2948">
        <f>E30+E31</f>
        <v>5.5000000000000007E-2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v>
      </c>
      <c r="G30" s="2963"/>
      <c r="H30" s="2963"/>
      <c r="K30" s="1684"/>
      <c r="N30" s="1684"/>
    </row>
    <row r="31" spans="1:41" ht="14.25">
      <c r="A31" s="2924" t="s">
        <v>1666</v>
      </c>
      <c r="B31" s="2949">
        <f ca="1">存贷款利率!I1</f>
        <v>0.03</v>
      </c>
      <c r="D31" s="2931" t="s">
        <v>1669</v>
      </c>
      <c r="E31" s="2951">
        <f>E30*(E32+E33+E34)+E35</f>
        <v>5.000000000000001E-3</v>
      </c>
      <c r="F31" s="1310"/>
      <c r="G31" s="2963"/>
      <c r="H31" s="2963"/>
      <c r="K31" s="1684"/>
      <c r="N31" s="1684"/>
    </row>
    <row r="32" spans="1:41" ht="14.25">
      <c r="A32" s="2924" t="s">
        <v>1668</v>
      </c>
      <c r="B32" s="2652"/>
      <c r="D32" s="2931" t="s">
        <v>1671</v>
      </c>
      <c r="E32" s="2666">
        <v>0.05</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70</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30" t="s">
        <v>1704</v>
      </c>
      <c r="B1" s="3331"/>
      <c r="C1" s="3331"/>
      <c r="D1" s="3331"/>
      <c r="E1" s="3331"/>
      <c r="F1" s="3331"/>
      <c r="G1" s="3331"/>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126.61</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41443</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211.3501</v>
      </c>
      <c r="C5" s="2580">
        <f ca="1">ROUND(B5*10000/$B$1,0)</f>
        <v>16693</v>
      </c>
      <c r="D5" s="2580" t="e">
        <f ca="1">ROUND(B5*10000/$B$2,0)</f>
        <v>#DIV/0!</v>
      </c>
      <c r="E5" s="1633"/>
      <c r="F5" s="2581"/>
      <c r="G5" s="2581"/>
    </row>
    <row r="6" spans="1:9" ht="16.5">
      <c r="A6" s="2580" t="s">
        <v>1220</v>
      </c>
      <c r="B6" s="2580">
        <f ca="1">SUM(G14:G23)</f>
        <v>211.3501</v>
      </c>
      <c r="C6" s="2580">
        <f t="shared" ref="C6:C8" ca="1" si="0">ROUND(B6*10000/$B$1,0)</f>
        <v>16693</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2916</v>
      </c>
      <c r="B14" s="2911">
        <f>项目基本情况!C12</f>
        <v>126.61</v>
      </c>
      <c r="C14" s="2911">
        <f>项目基本情况!C13</f>
        <v>0</v>
      </c>
      <c r="D14" s="2911">
        <f ca="1">IF('数据-取费表'!B3="万元",IF(A14="估价对象1（结果表）",结果表!H121,'结果表 (1修多)'!H125),IF(A14="估价对象1（结果表）",结果表!H121,'结果表 (1修多)'!H125)/10000)</f>
        <v>211.3501</v>
      </c>
      <c r="E14" s="2911">
        <f ca="1">ROUND(D14*10000/B14,0)</f>
        <v>16693</v>
      </c>
      <c r="F14" s="2911" t="e">
        <f ca="1">ROUND(D14*10000/C14,0)</f>
        <v>#DIV/0!</v>
      </c>
      <c r="G14" s="2911">
        <f ca="1">IF('数据-取费表'!B3="万元",IF(A14="估价对象1（结果表）",结果表!D125,'结果表 (1修多)'!D129),IF(A14="估价对象1（结果表）",结果表!D125,'结果表 (1修多)'!D129)/10000)</f>
        <v>211.3501</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387" t="str">
        <f>项目基本情况!B1</f>
        <v>北京市昌平区回龙观镇龙跃苑东四区8号楼房地产市场价值预评估</v>
      </c>
      <c r="B2" s="3387"/>
      <c r="C2" s="3387"/>
      <c r="D2" s="3387"/>
      <c r="E2" s="3387"/>
      <c r="F2" s="3387"/>
      <c r="G2" s="3387"/>
      <c r="H2" s="3387"/>
      <c r="I2" s="3387"/>
      <c r="J2" s="2838"/>
    </row>
    <row r="3" spans="1:15" ht="12.75">
      <c r="A3" s="3389" t="s">
        <v>1712</v>
      </c>
      <c r="B3" s="3390"/>
      <c r="C3" s="3390"/>
      <c r="D3" s="3390"/>
      <c r="E3" s="3390"/>
      <c r="F3" s="3390"/>
      <c r="G3" s="3390"/>
      <c r="H3" s="3390"/>
      <c r="I3" s="3390"/>
      <c r="J3" s="2839"/>
    </row>
    <row r="4" spans="1:15" ht="14.25">
      <c r="A4" s="2707" t="s">
        <v>1713</v>
      </c>
      <c r="B4" s="2707" t="s">
        <v>1714</v>
      </c>
      <c r="C4" s="2708" t="s">
        <v>2893</v>
      </c>
      <c r="D4" s="2708" t="s">
        <v>2894</v>
      </c>
      <c r="E4" s="3336" t="s">
        <v>1715</v>
      </c>
      <c r="F4" s="3374"/>
      <c r="G4" s="3374"/>
      <c r="H4" s="3374"/>
      <c r="I4" s="3375"/>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367" t="s">
        <v>1716</v>
      </c>
      <c r="B5" s="3367">
        <v>25</v>
      </c>
      <c r="C5" s="3376"/>
      <c r="D5" s="3376"/>
      <c r="E5" s="12" t="s">
        <v>1717</v>
      </c>
      <c r="F5" s="2085"/>
      <c r="G5" s="2085"/>
      <c r="H5" s="2085"/>
      <c r="I5" s="2080"/>
      <c r="J5" s="2840"/>
    </row>
    <row r="6" spans="1:15" ht="12.75" customHeight="1">
      <c r="A6" s="3367"/>
      <c r="B6" s="3367"/>
      <c r="C6" s="3391"/>
      <c r="D6" s="3391"/>
      <c r="E6" s="12" t="s">
        <v>1718</v>
      </c>
      <c r="F6" s="2085"/>
      <c r="G6" s="2085"/>
      <c r="H6" s="2085"/>
      <c r="I6" s="2080"/>
      <c r="J6" s="2840"/>
    </row>
    <row r="7" spans="1:15" ht="12.75" customHeight="1">
      <c r="A7" s="3367"/>
      <c r="B7" s="3367"/>
      <c r="C7" s="3377"/>
      <c r="D7" s="3377"/>
      <c r="E7" s="12" t="s">
        <v>1719</v>
      </c>
      <c r="F7" s="2085"/>
      <c r="G7" s="2085"/>
      <c r="H7" s="2085"/>
      <c r="I7" s="2080"/>
      <c r="J7" s="2840"/>
    </row>
    <row r="8" spans="1:15" ht="12.75" customHeight="1">
      <c r="A8" s="3367" t="s">
        <v>1720</v>
      </c>
      <c r="B8" s="3367">
        <v>15</v>
      </c>
      <c r="C8" s="3376"/>
      <c r="D8" s="3376"/>
      <c r="E8" s="12" t="s">
        <v>1721</v>
      </c>
      <c r="F8" s="2085"/>
      <c r="G8" s="2085"/>
      <c r="H8" s="2085"/>
      <c r="I8" s="2080"/>
      <c r="J8" s="2840"/>
    </row>
    <row r="9" spans="1:15" ht="12.75" customHeight="1">
      <c r="A9" s="3367"/>
      <c r="B9" s="3367"/>
      <c r="C9" s="3377"/>
      <c r="D9" s="3377"/>
      <c r="E9" s="12" t="s">
        <v>1722</v>
      </c>
      <c r="F9" s="2085"/>
      <c r="G9" s="2085"/>
      <c r="H9" s="2085"/>
      <c r="I9" s="2080"/>
      <c r="J9" s="2840"/>
    </row>
    <row r="10" spans="1:15" ht="12.75" customHeight="1">
      <c r="A10" s="3367" t="s">
        <v>1723</v>
      </c>
      <c r="B10" s="3367">
        <v>15</v>
      </c>
      <c r="C10" s="3376"/>
      <c r="D10" s="3376"/>
      <c r="E10" s="12" t="s">
        <v>1724</v>
      </c>
      <c r="F10" s="2085"/>
      <c r="G10" s="2085"/>
      <c r="H10" s="2085"/>
      <c r="I10" s="2080"/>
      <c r="J10" s="2840"/>
    </row>
    <row r="11" spans="1:15" ht="12.75" customHeight="1">
      <c r="A11" s="3367"/>
      <c r="B11" s="3367"/>
      <c r="C11" s="3377"/>
      <c r="D11" s="3377"/>
      <c r="E11" s="12" t="s">
        <v>1725</v>
      </c>
      <c r="F11" s="2085"/>
      <c r="G11" s="2085"/>
      <c r="H11" s="2085"/>
      <c r="I11" s="2080"/>
      <c r="J11" s="2840"/>
    </row>
    <row r="12" spans="1:15" ht="12.75" customHeight="1">
      <c r="A12" s="3367" t="s">
        <v>1726</v>
      </c>
      <c r="B12" s="3367">
        <v>15</v>
      </c>
      <c r="C12" s="3376"/>
      <c r="D12" s="3376"/>
      <c r="E12" s="12" t="s">
        <v>1727</v>
      </c>
      <c r="F12" s="2085"/>
      <c r="G12" s="2085"/>
      <c r="H12" s="2085"/>
      <c r="I12" s="2080"/>
      <c r="J12" s="2840"/>
    </row>
    <row r="13" spans="1:15" ht="12.75" customHeight="1">
      <c r="A13" s="3367"/>
      <c r="B13" s="3367"/>
      <c r="C13" s="3377"/>
      <c r="D13" s="3377"/>
      <c r="E13" s="12" t="s">
        <v>1728</v>
      </c>
      <c r="F13" s="2085"/>
      <c r="G13" s="2085"/>
      <c r="H13" s="2085"/>
      <c r="I13" s="2080"/>
      <c r="J13" s="2840"/>
    </row>
    <row r="14" spans="1:15" ht="12.75" customHeight="1">
      <c r="A14" s="3367" t="s">
        <v>1729</v>
      </c>
      <c r="B14" s="3367">
        <v>30</v>
      </c>
      <c r="C14" s="3376">
        <v>4</v>
      </c>
      <c r="D14" s="3376">
        <v>6</v>
      </c>
      <c r="E14" s="12" t="s">
        <v>1730</v>
      </c>
      <c r="F14" s="2085"/>
      <c r="G14" s="2085"/>
      <c r="H14" s="2085"/>
      <c r="I14" s="2080"/>
      <c r="J14" s="2840"/>
    </row>
    <row r="15" spans="1:15" ht="12.75" customHeight="1">
      <c r="A15" s="3367"/>
      <c r="B15" s="3367"/>
      <c r="C15" s="3391"/>
      <c r="D15" s="3391"/>
      <c r="E15" s="12" t="s">
        <v>1731</v>
      </c>
      <c r="F15" s="2085"/>
      <c r="G15" s="2085"/>
      <c r="H15" s="2085"/>
      <c r="I15" s="2080"/>
      <c r="J15" s="2840"/>
    </row>
    <row r="16" spans="1:15" ht="12.75" customHeight="1">
      <c r="A16" s="3367"/>
      <c r="B16" s="3367"/>
      <c r="C16" s="3377"/>
      <c r="D16" s="3377"/>
      <c r="E16" s="12" t="s">
        <v>1732</v>
      </c>
      <c r="F16" s="2085"/>
      <c r="G16" s="2085"/>
      <c r="H16" s="2085"/>
      <c r="I16" s="2080"/>
      <c r="J16" s="2840"/>
    </row>
    <row r="17" spans="1:36" ht="15">
      <c r="A17" s="2709" t="s">
        <v>1733</v>
      </c>
      <c r="B17" s="2090"/>
      <c r="C17" s="2710">
        <f>SUM(C5:C16)</f>
        <v>4</v>
      </c>
      <c r="D17" s="2710">
        <f>SUM(D5:D16)</f>
        <v>6</v>
      </c>
      <c r="E17" s="2562"/>
      <c r="F17" s="2562"/>
      <c r="G17" s="2562"/>
      <c r="H17" s="2562"/>
      <c r="I17" s="2562"/>
      <c r="J17" s="2841"/>
    </row>
    <row r="18" spans="1:36" ht="30" customHeight="1" thickBot="1">
      <c r="A18" s="2711" t="s">
        <v>1734</v>
      </c>
      <c r="B18" s="2712"/>
      <c r="C18" s="2713">
        <f>ROUND(C17/SUM(C17:D17),2)</f>
        <v>0.4</v>
      </c>
      <c r="D18" s="2713">
        <f>1-C18</f>
        <v>0.6</v>
      </c>
      <c r="E18" s="3385" t="s">
        <v>2816</v>
      </c>
      <c r="F18" s="3386"/>
      <c r="G18" s="3386"/>
      <c r="H18" s="3386"/>
      <c r="I18" s="3386"/>
      <c r="J18" s="2841"/>
      <c r="K18" s="3151"/>
      <c r="L18" s="3151"/>
      <c r="M18" s="3151"/>
      <c r="N18" s="3151"/>
    </row>
    <row r="19" spans="1:36" ht="15">
      <c r="A19" s="2714" t="s">
        <v>1735</v>
      </c>
      <c r="B19" s="2715" t="s">
        <v>1736</v>
      </c>
      <c r="C19" s="2716">
        <f ca="1">SUMIF(INDIRECT("'"&amp;C4&amp;"'"&amp;"!A:A"),结果表!B19,INDIRECT("'"&amp;C4&amp;"'"&amp;"!B:B"))</f>
        <v>1351234</v>
      </c>
      <c r="D19" s="2717">
        <f ca="1">SUMIF(INDIRECT("'"&amp;D4&amp;"'"&amp;"!A:A"),结果表!B19,INDIRECT("'"&amp;D4&amp;"'"&amp;"!B:B"))</f>
        <v>2621713</v>
      </c>
      <c r="E19" s="2714" t="s">
        <v>1737</v>
      </c>
      <c r="F19" s="2715" t="s">
        <v>1736</v>
      </c>
      <c r="G19" s="2718">
        <f ca="1">ROUND(C19*$C$18+D19*$D$18,0)</f>
        <v>2113521</v>
      </c>
      <c r="H19" s="2719" t="str">
        <f>'数据-取费表'!B3</f>
        <v>元</v>
      </c>
      <c r="I19" s="2767"/>
      <c r="J19" s="2842"/>
      <c r="K19" s="3151"/>
      <c r="L19" s="3151"/>
      <c r="M19" s="3151"/>
      <c r="N19" s="3151"/>
    </row>
    <row r="20" spans="1:36" ht="15">
      <c r="A20" s="2720"/>
      <c r="B20" s="1692" t="s">
        <v>1738</v>
      </c>
      <c r="C20" s="1915">
        <f ca="1">SUMIF(INDIRECT("'"&amp;C4&amp;"'"&amp;"!A:A"),结果表!B20,INDIRECT("'"&amp;C4&amp;"'"&amp;"!B:B"))</f>
        <v>10672</v>
      </c>
      <c r="D20" s="1918">
        <f ca="1">SUMIF(INDIRECT("'"&amp;D4&amp;"'"&amp;"!A:A"),结果表!B20,INDIRECT("'"&amp;D4&amp;"'"&amp;"!B:B"))</f>
        <v>20707</v>
      </c>
      <c r="E20" s="2720"/>
      <c r="F20" s="1692" t="s">
        <v>1738</v>
      </c>
      <c r="G20" s="2089">
        <f ca="1">ROUND(C20*$C$18+D20*$D$18,0)</f>
        <v>16693</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0.94023611010380148</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8" t="s">
        <v>1741</v>
      </c>
      <c r="B24" s="2715" t="s">
        <v>1736</v>
      </c>
      <c r="C24" s="2718">
        <f>D30</f>
        <v>0</v>
      </c>
      <c r="D24" s="2670"/>
      <c r="E24" s="947"/>
      <c r="F24" s="947"/>
      <c r="G24" s="947"/>
      <c r="H24" s="947"/>
      <c r="I24" s="947"/>
      <c r="J24" s="2841"/>
    </row>
    <row r="25" spans="1:36" ht="21.75" customHeight="1">
      <c r="A25" s="3394"/>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16693</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t="s">
        <v>3139</v>
      </c>
      <c r="E33" s="2740" t="s">
        <v>1749</v>
      </c>
      <c r="F33" s="2741" t="str">
        <f>IF(B32="楼面单价","取值（单价）","取值（总价）")</f>
        <v>取值（单价）</v>
      </c>
      <c r="G33" s="947"/>
      <c r="H33" s="947"/>
      <c r="I33" s="947"/>
      <c r="J33" s="2841"/>
    </row>
    <row r="34" spans="1:17" ht="15">
      <c r="A34" s="1465"/>
      <c r="B34" s="2742" t="s">
        <v>1750</v>
      </c>
      <c r="C34" s="2743">
        <f ca="1">IF(D33="自定义",F34,C32-C35)</f>
        <v>12236</v>
      </c>
      <c r="D34" s="2744">
        <f ca="1">IF(D33="自定义",ROUND(C34/C32,3),1-D35)</f>
        <v>0.73299999999999998</v>
      </c>
      <c r="E34" s="1435" t="s">
        <v>1751</v>
      </c>
      <c r="F34" s="2745">
        <v>2000</v>
      </c>
      <c r="G34" s="947"/>
      <c r="H34" s="947"/>
      <c r="I34" s="947"/>
      <c r="J34" s="2841"/>
    </row>
    <row r="35" spans="1:17" ht="15.75" thickBot="1">
      <c r="A35" s="1466"/>
      <c r="B35" s="2746" t="s">
        <v>1752</v>
      </c>
      <c r="C35" s="2747">
        <f ca="1">IF(D33="自定义",F35,ROUND(C32*D35,0))</f>
        <v>4457</v>
      </c>
      <c r="D35" s="2748">
        <f ca="1">IF(D33="自定义",ROUND(C35/C32,3),IF(D33="成本法成本比率",成本法!C56,IF(D33="收益法收益比率",收益法!J38,收益法!J41)))</f>
        <v>0.26700000000000002</v>
      </c>
      <c r="E35" s="2749" t="s">
        <v>1753</v>
      </c>
      <c r="F35" s="2750">
        <v>4460</v>
      </c>
      <c r="G35" s="947"/>
      <c r="H35" s="947"/>
      <c r="I35" s="947"/>
      <c r="J35" s="2841"/>
    </row>
    <row r="36" spans="1:17" ht="15.75" thickBot="1">
      <c r="A36" s="3378" t="s">
        <v>1754</v>
      </c>
      <c r="B36" s="1467" t="s">
        <v>1755</v>
      </c>
      <c r="C36" s="2751">
        <v>0</v>
      </c>
      <c r="D36" s="2752"/>
      <c r="E36" s="1679"/>
      <c r="F36" s="1679"/>
      <c r="G36" s="947"/>
      <c r="H36" s="947"/>
      <c r="I36" s="947"/>
      <c r="J36" s="2841"/>
    </row>
    <row r="37" spans="1:17" ht="15.75" thickBot="1">
      <c r="A37" s="3379"/>
      <c r="B37" s="2090" t="s">
        <v>1756</v>
      </c>
      <c r="C37" s="2753">
        <v>0</v>
      </c>
      <c r="D37" s="1311"/>
      <c r="E37" s="1311"/>
      <c r="F37" s="1679"/>
      <c r="G37" s="1311"/>
      <c r="H37" s="1311"/>
      <c r="I37" s="1311"/>
      <c r="J37" s="2845"/>
    </row>
    <row r="38" spans="1:17" ht="15.75" thickBot="1">
      <c r="A38" s="3380"/>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82" t="s">
        <v>1765</v>
      </c>
      <c r="B45" s="3383"/>
      <c r="C45" s="3342"/>
      <c r="D45" s="246">
        <f ca="1">ROUND(I102*F45,0)</f>
        <v>2113501</v>
      </c>
      <c r="E45" s="1541" t="s">
        <v>1766</v>
      </c>
      <c r="F45" s="2560">
        <v>1</v>
      </c>
      <c r="G45" s="2561" t="s">
        <v>1767</v>
      </c>
      <c r="H45" s="947"/>
      <c r="I45" s="947"/>
      <c r="J45" s="2841"/>
      <c r="K45" s="3435" t="s">
        <v>2745</v>
      </c>
      <c r="L45" s="3435"/>
      <c r="M45" s="3435"/>
      <c r="N45" s="3435"/>
      <c r="O45" s="3435"/>
      <c r="P45" s="3435"/>
      <c r="Q45" s="1308"/>
    </row>
    <row r="46" spans="1:17" ht="14.25" customHeight="1">
      <c r="A46" s="3371" t="s">
        <v>1769</v>
      </c>
      <c r="B46" s="3372"/>
      <c r="C46" s="3372"/>
      <c r="D46" s="3372"/>
      <c r="E46" s="3372"/>
      <c r="F46" s="3372"/>
      <c r="G46" s="3373"/>
      <c r="H46" s="2973"/>
      <c r="I46" s="947"/>
      <c r="J46" s="2841"/>
      <c r="K46" s="2535">
        <v>1</v>
      </c>
      <c r="L46" s="3436" t="s">
        <v>2746</v>
      </c>
      <c r="M46" s="3436"/>
      <c r="N46" s="3437" t="str">
        <f>项目基本情况!B1</f>
        <v>北京市昌平区回龙观镇龙跃苑东四区8号楼房地产市场价值预评估</v>
      </c>
      <c r="O46" s="3437"/>
      <c r="P46" s="3437"/>
      <c r="Q46" s="1308"/>
    </row>
    <row r="47" spans="1:17" ht="12" customHeight="1">
      <c r="A47" s="38" t="s">
        <v>1771</v>
      </c>
      <c r="B47" s="39"/>
      <c r="C47" s="40"/>
      <c r="D47" s="1099" t="s">
        <v>1772</v>
      </c>
      <c r="E47" s="235" t="s">
        <v>1773</v>
      </c>
      <c r="F47" s="41" t="s">
        <v>1774</v>
      </c>
      <c r="G47" s="2563" t="s">
        <v>1775</v>
      </c>
      <c r="H47" s="2973"/>
      <c r="I47" s="947"/>
      <c r="J47" s="2841"/>
      <c r="K47" s="2535">
        <v>2</v>
      </c>
      <c r="L47" s="3436" t="s">
        <v>2747</v>
      </c>
      <c r="M47" s="3436"/>
      <c r="N47" s="3438">
        <f>'数据-取费表'!B2</f>
        <v>41443</v>
      </c>
      <c r="O47" s="3438"/>
      <c r="P47" s="3438"/>
      <c r="Q47" s="1308"/>
    </row>
    <row r="48" spans="1:17" ht="25.5">
      <c r="A48" s="3381" t="s">
        <v>1777</v>
      </c>
      <c r="B48" s="3335"/>
      <c r="C48" s="3335"/>
      <c r="D48" s="12">
        <f ca="1">IF(H48="情况1",0,IF(H48="情况2",D52,IF(H48="情况3",D53,IF(H48="情况4",D54))))</f>
        <v>116243</v>
      </c>
      <c r="E48" s="2088" t="str">
        <f>IF(H48="情况4","(销售额-原购置价)×税（费）率","销售额×税（费）率")</f>
        <v>销售额×税（费）率</v>
      </c>
      <c r="F48" s="2564">
        <f>IF(H48="情况1","免征",'数据-取费表'!E29)</f>
        <v>5.5000000000000007E-2</v>
      </c>
      <c r="G48" s="2565" t="s">
        <v>1778</v>
      </c>
      <c r="H48" s="2566" t="s">
        <v>1779</v>
      </c>
      <c r="I48" s="2973"/>
      <c r="J48" s="2848"/>
      <c r="K48" s="2535">
        <v>3</v>
      </c>
      <c r="L48" s="3436" t="s">
        <v>2748</v>
      </c>
      <c r="M48" s="3436"/>
      <c r="N48" s="3437">
        <f ca="1">I102</f>
        <v>2113501</v>
      </c>
      <c r="O48" s="3437"/>
      <c r="P48" s="3437"/>
      <c r="Q48" s="1308"/>
    </row>
    <row r="49" spans="1:17" ht="25.5" customHeight="1">
      <c r="A49" s="2087" t="s">
        <v>1781</v>
      </c>
      <c r="B49" s="3374" t="s">
        <v>1782</v>
      </c>
      <c r="C49" s="3374"/>
      <c r="D49" s="2567">
        <v>0</v>
      </c>
      <c r="E49" s="261" t="s">
        <v>1783</v>
      </c>
      <c r="F49" s="2568" t="s">
        <v>48</v>
      </c>
      <c r="G49" s="3430"/>
      <c r="H49" s="2569" t="s">
        <v>2822</v>
      </c>
      <c r="I49" s="2570"/>
      <c r="J49" s="2849"/>
      <c r="K49" s="2535">
        <v>4</v>
      </c>
      <c r="L49" s="3436" t="str">
        <f>IF(项目基本情况!F5="房地产抵押价值","房地产抵押价值","抵押担保权已注销时的房地产抵押价值")</f>
        <v>抵押担保权已注销时的房地产抵押价值</v>
      </c>
      <c r="M49" s="3436"/>
      <c r="N49" s="3437" t="str">
        <f>IF(项目基本情况!F5="房地产抵押价值",I110,I112)</f>
        <v>——</v>
      </c>
      <c r="O49" s="3437"/>
      <c r="P49" s="3437"/>
      <c r="Q49" s="1308"/>
    </row>
    <row r="50" spans="1:17" ht="25.5" customHeight="1">
      <c r="A50" s="2077"/>
      <c r="B50" s="3374" t="s">
        <v>1784</v>
      </c>
      <c r="C50" s="3374"/>
      <c r="D50" s="2571"/>
      <c r="E50" s="269"/>
      <c r="F50" s="2568"/>
      <c r="G50" s="3431"/>
      <c r="H50" s="2572" t="s">
        <v>2741</v>
      </c>
      <c r="I50" s="2570"/>
      <c r="J50" s="2849"/>
      <c r="K50" s="3436" t="s">
        <v>2749</v>
      </c>
      <c r="L50" s="3436"/>
      <c r="M50" s="3436"/>
      <c r="N50" s="3436"/>
      <c r="O50" s="3436"/>
      <c r="P50" s="3436"/>
      <c r="Q50" s="1308"/>
    </row>
    <row r="51" spans="1:17" ht="20.45" customHeight="1">
      <c r="A51" s="2573"/>
      <c r="B51" s="3374" t="s">
        <v>1786</v>
      </c>
      <c r="C51" s="3374"/>
      <c r="D51" s="1099"/>
      <c r="E51" s="264"/>
      <c r="F51" s="2568"/>
      <c r="G51" s="3432"/>
      <c r="H51" s="2572" t="s">
        <v>2742</v>
      </c>
      <c r="I51" s="2570"/>
      <c r="J51" s="2849"/>
      <c r="K51" s="2536" t="s">
        <v>2750</v>
      </c>
      <c r="L51" s="3436" t="s">
        <v>2751</v>
      </c>
      <c r="M51" s="3436"/>
      <c r="N51" s="2536" t="s">
        <v>2752</v>
      </c>
      <c r="O51" s="2536" t="s">
        <v>2753</v>
      </c>
      <c r="P51" s="2536" t="s">
        <v>2754</v>
      </c>
      <c r="Q51" s="1308"/>
    </row>
    <row r="52" spans="1:17" ht="24" customHeight="1">
      <c r="A52" s="2078" t="s">
        <v>1792</v>
      </c>
      <c r="B52" s="3374" t="s">
        <v>1793</v>
      </c>
      <c r="C52" s="3374"/>
      <c r="D52" s="1099">
        <f ca="1">ROUND(D45*'数据-取费表'!E29/(1+'数据-取费表'!F30),0)</f>
        <v>116243</v>
      </c>
      <c r="E52" s="2088" t="s">
        <v>1794</v>
      </c>
      <c r="F52" s="2574">
        <f>'数据-取费表'!E29</f>
        <v>5.5000000000000007E-2</v>
      </c>
      <c r="G52" s="2575"/>
      <c r="H52" s="947"/>
      <c r="I52" s="2974"/>
      <c r="J52" s="2849"/>
      <c r="K52" s="2535">
        <v>1</v>
      </c>
      <c r="L52" s="3403" t="s">
        <v>2755</v>
      </c>
      <c r="M52" s="3403"/>
      <c r="N52" s="2537">
        <f ca="1">D48</f>
        <v>116243</v>
      </c>
      <c r="O52" s="2535" t="str">
        <f>E48</f>
        <v>销售额×税（费）率</v>
      </c>
      <c r="P52" s="2538">
        <f>F48</f>
        <v>5.5000000000000007E-2</v>
      </c>
      <c r="Q52" s="1308"/>
    </row>
    <row r="53" spans="1:17" ht="12" customHeight="1">
      <c r="A53" s="2078" t="s">
        <v>1796</v>
      </c>
      <c r="B53" s="3336" t="s">
        <v>2834</v>
      </c>
      <c r="C53" s="3375"/>
      <c r="D53" s="1099">
        <f ca="1">ROUND(D45*'数据-取费表'!E29/(1+'数据-取费表'!F30),0)</f>
        <v>116243</v>
      </c>
      <c r="E53" s="2088" t="s">
        <v>1794</v>
      </c>
      <c r="F53" s="2574">
        <f>'数据-取费表'!E29</f>
        <v>5.5000000000000007E-2</v>
      </c>
      <c r="G53" s="2575"/>
      <c r="H53" s="947"/>
      <c r="I53" s="2974"/>
      <c r="J53" s="2849"/>
      <c r="K53" s="2535">
        <v>2</v>
      </c>
      <c r="L53" s="3403" t="s">
        <v>2756</v>
      </c>
      <c r="M53" s="3403"/>
      <c r="N53" s="2537">
        <f t="shared" ref="N53:P54" si="1">D55</f>
        <v>0</v>
      </c>
      <c r="O53" s="2535" t="str">
        <f t="shared" si="1"/>
        <v>销售额×税（费）率</v>
      </c>
      <c r="P53" s="2538" t="str">
        <f t="shared" si="1"/>
        <v>免征</v>
      </c>
      <c r="Q53" s="1308"/>
    </row>
    <row r="54" spans="1:17" ht="12" customHeight="1">
      <c r="A54" s="2078" t="s">
        <v>1798</v>
      </c>
      <c r="B54" s="3336" t="s">
        <v>2835</v>
      </c>
      <c r="C54" s="3375"/>
      <c r="D54" s="1099">
        <f ca="1">C68</f>
        <v>116243</v>
      </c>
      <c r="E54" s="264" t="s">
        <v>1799</v>
      </c>
      <c r="F54" s="2574">
        <f>'数据-取费表'!E29</f>
        <v>5.5000000000000007E-2</v>
      </c>
      <c r="G54" s="2575"/>
      <c r="H54" s="2975"/>
      <c r="I54" s="2974"/>
      <c r="J54" s="2849"/>
      <c r="K54" s="2535">
        <v>3</v>
      </c>
      <c r="L54" s="3403" t="s">
        <v>2757</v>
      </c>
      <c r="M54" s="3403"/>
      <c r="N54" s="2537">
        <f t="shared" si="1"/>
        <v>0</v>
      </c>
      <c r="O54" s="2535" t="str">
        <f t="shared" si="1"/>
        <v>增值额×税（费）率</v>
      </c>
      <c r="P54" s="2539" t="str">
        <f t="shared" si="1"/>
        <v>免征</v>
      </c>
      <c r="Q54" s="1308"/>
    </row>
    <row r="55" spans="1:17" ht="24" customHeight="1">
      <c r="A55" s="3334" t="s">
        <v>1801</v>
      </c>
      <c r="B55" s="3335"/>
      <c r="C55" s="3335"/>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403" t="str">
        <f>IF(H59="非个人房产","——","个人所得税")</f>
        <v>——</v>
      </c>
      <c r="M55" s="3403"/>
      <c r="N55" s="2540" t="str">
        <f>D59</f>
        <v>——</v>
      </c>
      <c r="O55" s="2541" t="str">
        <f>E59</f>
        <v>——</v>
      </c>
      <c r="P55" s="2542" t="str">
        <f>F59</f>
        <v>——</v>
      </c>
      <c r="Q55" s="1308"/>
    </row>
    <row r="56" spans="1:17" ht="24.75">
      <c r="A56" s="3334" t="s">
        <v>1804</v>
      </c>
      <c r="B56" s="3335"/>
      <c r="C56" s="3335"/>
      <c r="D56" s="12">
        <f>IF(H56="个人住宅",D57,D58)</f>
        <v>0</v>
      </c>
      <c r="E56" s="2088" t="s">
        <v>1805</v>
      </c>
      <c r="F56" s="2574" t="str">
        <f>IF(H56="正常",F58,"免征")</f>
        <v>免征</v>
      </c>
      <c r="G56" s="2576" t="s">
        <v>1806</v>
      </c>
      <c r="H56" s="2577" t="s">
        <v>2738</v>
      </c>
      <c r="I56" s="2976"/>
      <c r="J56" s="2849"/>
      <c r="K56" s="2535" t="str">
        <f>IF(项目基本情况!I6="上海银行",IF(K55="",4,K55+1),"")</f>
        <v/>
      </c>
      <c r="L56" s="3417" t="str">
        <f>IF(项目基本情况!I6="上海银行","其他处置费用","")</f>
        <v/>
      </c>
      <c r="M56" s="3418"/>
      <c r="N56" s="2537" t="str">
        <f>IF(项目基本情况!I6="上海银行",N69,"")</f>
        <v/>
      </c>
      <c r="O56" s="3417" t="str">
        <f>IF(项目基本情况!I6="上海银行","包含处置中涉及的律师、诉讼、拍卖、评估等费用","")</f>
        <v/>
      </c>
      <c r="P56" s="3429"/>
      <c r="Q56" s="1308"/>
    </row>
    <row r="57" spans="1:17" ht="12.75">
      <c r="A57" s="2078" t="s">
        <v>1781</v>
      </c>
      <c r="B57" s="3336" t="s">
        <v>1807</v>
      </c>
      <c r="C57" s="3375"/>
      <c r="D57" s="2567">
        <v>0</v>
      </c>
      <c r="E57" s="261" t="s">
        <v>1783</v>
      </c>
      <c r="F57" s="235"/>
      <c r="G57" s="2575"/>
      <c r="H57" s="2976"/>
      <c r="I57" s="2976"/>
      <c r="J57" s="2849"/>
      <c r="K57" s="3403">
        <f>IF(AND(K55="",K56=""),4,IF(项目基本情况!I6="上海银行",K56+1,K55+1))</f>
        <v>4</v>
      </c>
      <c r="L57" s="3403" t="s">
        <v>2758</v>
      </c>
      <c r="M57" s="2543" t="s">
        <v>2759</v>
      </c>
      <c r="N57" s="2544"/>
      <c r="O57" s="2545">
        <f ca="1">SUMIF(N52:N56,"&lt;9e307")</f>
        <v>116243</v>
      </c>
      <c r="P57" s="2546"/>
      <c r="Q57" s="1306" t="e">
        <f ca="1">O57/N49</f>
        <v>#VALUE!</v>
      </c>
    </row>
    <row r="58" spans="1:17" ht="24.75">
      <c r="A58" s="2078" t="s">
        <v>1792</v>
      </c>
      <c r="B58" s="3336" t="s">
        <v>1810</v>
      </c>
      <c r="C58" s="3374"/>
      <c r="D58" s="12">
        <f ca="1">IF(H58="转让取得",C81,C97)</f>
        <v>1258061</v>
      </c>
      <c r="E58" s="2088" t="s">
        <v>1805</v>
      </c>
      <c r="F58" s="235" t="s">
        <v>48</v>
      </c>
      <c r="G58" s="2575"/>
      <c r="H58" s="2577" t="s">
        <v>1811</v>
      </c>
      <c r="I58" s="2976"/>
      <c r="J58" s="2849"/>
      <c r="K58" s="3403"/>
      <c r="L58" s="3403"/>
      <c r="M58" s="2543" t="s">
        <v>2760</v>
      </c>
      <c r="N58" s="2547"/>
      <c r="O58" s="2548" t="str">
        <f ca="1">IF(H19="元",NUMBERSTRING(INT(O57),2)&amp;"元整",NUMBERSTRING(INT(O57*10000),2)&amp;"元整")</f>
        <v>壹拾壹万陆仟贰佰肆拾叁元整</v>
      </c>
      <c r="P58" s="2549"/>
      <c r="Q58" s="1308"/>
    </row>
    <row r="59" spans="1:17" ht="24.75" thickBot="1">
      <c r="A59" s="3358" t="s">
        <v>1813</v>
      </c>
      <c r="B59" s="3359"/>
      <c r="C59" s="3359"/>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401">
        <f>K57+1</f>
        <v>5</v>
      </c>
      <c r="L59" s="3403" t="s">
        <v>2761</v>
      </c>
      <c r="M59" s="2535" t="s">
        <v>2759</v>
      </c>
      <c r="N59" s="2550"/>
      <c r="O59" s="2551" t="e">
        <f ca="1">N49-O57</f>
        <v>#VALUE!</v>
      </c>
      <c r="P59" s="2552"/>
      <c r="Q59" s="1308"/>
    </row>
    <row r="60" spans="1:17" ht="12" customHeight="1">
      <c r="A60" s="1456"/>
      <c r="B60" s="1460"/>
      <c r="C60" s="1460"/>
      <c r="D60" s="1460"/>
      <c r="E60" s="812"/>
      <c r="F60" s="2977"/>
      <c r="G60" s="2977"/>
      <c r="H60" s="2978"/>
      <c r="I60" s="31"/>
      <c r="K60" s="3402"/>
      <c r="L60" s="3403"/>
      <c r="M60" s="2543" t="s">
        <v>2760</v>
      </c>
      <c r="N60" s="2547"/>
      <c r="O60" s="2548" t="e">
        <f ca="1">IF(H19="元",NUMBERSTRING(INT(O59),2)&amp;"元整",NUMBERSTRING(INT(O59*10000),2)&amp;"元整")</f>
        <v>#VALUE!</v>
      </c>
      <c r="P60" s="2549"/>
      <c r="Q60" s="1308"/>
    </row>
    <row r="61" spans="1:17" ht="13.5" thickBot="1">
      <c r="A61" s="3384" t="s">
        <v>1815</v>
      </c>
      <c r="B61" s="3384"/>
      <c r="C61" s="3384"/>
      <c r="D61" s="3384"/>
      <c r="E61" s="3384"/>
      <c r="F61" s="2977"/>
      <c r="G61" s="2977"/>
      <c r="H61" s="2979"/>
      <c r="I61" s="31"/>
      <c r="K61" s="2535">
        <f>K59+1</f>
        <v>6</v>
      </c>
      <c r="L61" s="3403" t="s">
        <v>2762</v>
      </c>
      <c r="M61" s="3403"/>
      <c r="N61" s="2553"/>
      <c r="O61" s="2554" t="e">
        <f ca="1">IF(H19="元",ROUND(O59/项目基本情况!C12,0),ROUND(O59*10000/项目基本情况!C12,0))</f>
        <v>#VALUE!</v>
      </c>
      <c r="P61" s="2555"/>
      <c r="Q61" s="1308"/>
    </row>
    <row r="62" spans="1:17" ht="12.75">
      <c r="A62" s="3392" t="s">
        <v>1817</v>
      </c>
      <c r="B62" s="3393"/>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2113501</v>
      </c>
      <c r="D63" s="47"/>
      <c r="E63" s="48"/>
      <c r="F63" s="2977"/>
      <c r="G63" s="2977"/>
      <c r="H63" s="2979"/>
      <c r="I63" s="31"/>
      <c r="K63" s="3419"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2113501</v>
      </c>
      <c r="D64" s="50" t="s">
        <v>41</v>
      </c>
      <c r="E64" s="52"/>
      <c r="F64" s="2977"/>
      <c r="G64" s="2977"/>
      <c r="H64" s="2979"/>
      <c r="I64" s="31"/>
      <c r="K64" s="3419"/>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419"/>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419"/>
      <c r="L66" s="2557" t="s">
        <v>2768</v>
      </c>
      <c r="M66" s="2557" t="e">
        <f>N49*0.5%</f>
        <v>#VALUE!</v>
      </c>
      <c r="N66" s="2558" t="e">
        <f>IF(M66&gt;0.5,0.5,ROUND(M66,0))</f>
        <v>#VALUE!</v>
      </c>
      <c r="O66" s="2556" t="s">
        <v>2769</v>
      </c>
      <c r="P66" s="2556"/>
      <c r="Q66" s="1308"/>
    </row>
    <row r="67" spans="1:36" ht="12.75">
      <c r="A67" s="53" t="s">
        <v>42</v>
      </c>
      <c r="B67" s="54" t="s">
        <v>1832</v>
      </c>
      <c r="C67" s="2784">
        <f ca="1">C63-C66</f>
        <v>2113501</v>
      </c>
      <c r="D67" s="50" t="s">
        <v>41</v>
      </c>
      <c r="E67" s="52"/>
      <c r="F67" s="2977"/>
      <c r="G67" s="2977"/>
      <c r="H67" s="2979"/>
      <c r="I67" s="31"/>
      <c r="K67" s="3419"/>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116243</v>
      </c>
      <c r="D68" s="2240">
        <f>'数据-取费表'!E29</f>
        <v>5.5000000000000007E-2</v>
      </c>
      <c r="E68" s="57"/>
      <c r="F68" s="2977"/>
      <c r="G68" s="2977"/>
      <c r="H68" s="2979"/>
      <c r="I68" s="31"/>
      <c r="K68" s="3419"/>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419"/>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95" t="s">
        <v>1837</v>
      </c>
      <c r="B70" s="3396"/>
      <c r="C70" s="3396"/>
      <c r="D70" s="3396"/>
      <c r="E70" s="3396"/>
      <c r="F70" s="3396"/>
      <c r="G70" s="3396"/>
      <c r="H70" s="3396"/>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92" t="s">
        <v>1817</v>
      </c>
      <c r="B71" s="3393"/>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2113501</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10568</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336" t="s">
        <v>1847</v>
      </c>
      <c r="F76" s="3374"/>
      <c r="G76" s="3374"/>
      <c r="H76" s="3388"/>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10568</v>
      </c>
      <c r="D78" s="2793">
        <f>'数据-取费表'!E31</f>
        <v>5.000000000000001E-3</v>
      </c>
      <c r="E78" s="3368" t="s">
        <v>1852</v>
      </c>
      <c r="F78" s="3369"/>
      <c r="G78" s="3369"/>
      <c r="H78" s="3370"/>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2102933</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198.99063209689629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1258061</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95" t="s">
        <v>1856</v>
      </c>
      <c r="B83" s="3396"/>
      <c r="C83" s="3396"/>
      <c r="D83" s="3396"/>
      <c r="E83" s="3396"/>
      <c r="F83" s="3396"/>
      <c r="G83" s="3396"/>
      <c r="H83" s="3396"/>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92" t="s">
        <v>1817</v>
      </c>
      <c r="B84" s="3393"/>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2113501</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10568</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428" t="s">
        <v>2733</v>
      </c>
      <c r="H90" s="3428"/>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68" t="s">
        <v>1864</v>
      </c>
      <c r="F91" s="3369"/>
      <c r="G91" s="3369"/>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68" t="s">
        <v>1867</v>
      </c>
      <c r="F92" s="3369"/>
      <c r="G92" s="3369"/>
      <c r="H92" s="3370"/>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10568</v>
      </c>
      <c r="D93" s="2793">
        <f>'数据-取费表'!E31</f>
        <v>5.000000000000001E-3</v>
      </c>
      <c r="E93" s="3368" t="s">
        <v>1852</v>
      </c>
      <c r="F93" s="3369"/>
      <c r="G93" s="3369"/>
      <c r="H93" s="3370"/>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68" t="s">
        <v>1869</v>
      </c>
      <c r="F94" s="3369"/>
      <c r="G94" s="3369"/>
      <c r="H94" s="3370"/>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2102933</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198.99063209689629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1258061</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414" t="s">
        <v>1871</v>
      </c>
      <c r="B99" s="3415"/>
      <c r="C99" s="3415"/>
      <c r="D99" s="3416"/>
      <c r="E99" s="1460"/>
      <c r="F99" s="3423" t="s">
        <v>1872</v>
      </c>
      <c r="G99" s="3424"/>
      <c r="H99" s="3424"/>
      <c r="I99" s="3425"/>
      <c r="J99" s="2855"/>
    </row>
    <row r="100" spans="1:36" ht="15">
      <c r="A100" s="3426" t="s">
        <v>1873</v>
      </c>
      <c r="B100" s="3427"/>
      <c r="C100" s="1307" t="str">
        <f>C4</f>
        <v>成本法</v>
      </c>
      <c r="D100" s="2803" t="str">
        <f>D4</f>
        <v>比较法-住宅</v>
      </c>
      <c r="E100" s="1460"/>
      <c r="F100" s="3339" t="s">
        <v>2777</v>
      </c>
      <c r="G100" s="3340"/>
      <c r="H100" s="3339" t="s">
        <v>2778</v>
      </c>
      <c r="I100" s="3338"/>
      <c r="J100" s="2856"/>
    </row>
    <row r="101" spans="1:36" ht="12.75">
      <c r="A101" s="3406" t="s">
        <v>2810</v>
      </c>
      <c r="B101" s="2305" t="str">
        <f>IF(H19="元","总价（元）","总价（万元）")</f>
        <v>总价（元）</v>
      </c>
      <c r="C101" s="1307">
        <f ca="1">C19</f>
        <v>1351234</v>
      </c>
      <c r="D101" s="2803">
        <f ca="1">D19</f>
        <v>2621713</v>
      </c>
      <c r="E101" s="1460"/>
      <c r="F101" s="3339" t="str">
        <f>项目基本情况!I1</f>
        <v>北京市昌平区回龙观镇龙跃苑东四区8号楼房地产</v>
      </c>
      <c r="G101" s="3340"/>
      <c r="H101" s="3337">
        <f>项目基本情况!C12</f>
        <v>126.61</v>
      </c>
      <c r="I101" s="3338"/>
      <c r="J101" s="2856"/>
    </row>
    <row r="102" spans="1:36" ht="12.75">
      <c r="A102" s="3406"/>
      <c r="B102" s="2305" t="s">
        <v>2811</v>
      </c>
      <c r="C102" s="2804">
        <f ca="1">C20</f>
        <v>10672</v>
      </c>
      <c r="D102" s="2805">
        <f ca="1">D20</f>
        <v>20707</v>
      </c>
      <c r="E102" s="1460"/>
      <c r="F102" s="3349" t="s">
        <v>2807</v>
      </c>
      <c r="G102" s="3350"/>
      <c r="H102" s="2813" t="str">
        <f>C106</f>
        <v>总价（元）</v>
      </c>
      <c r="I102" s="2814">
        <f ca="1">H121</f>
        <v>2113501</v>
      </c>
      <c r="J102" s="2856"/>
    </row>
    <row r="103" spans="1:36" ht="12.75">
      <c r="A103" s="3406" t="s">
        <v>2812</v>
      </c>
      <c r="B103" s="2243" t="str">
        <f>B101</f>
        <v>总价（元）</v>
      </c>
      <c r="C103" s="2808">
        <f ca="1">H121</f>
        <v>2113501</v>
      </c>
      <c r="D103" s="2806"/>
      <c r="E103" s="1460"/>
      <c r="F103" s="3349"/>
      <c r="G103" s="3350"/>
      <c r="H103" s="2813" t="s">
        <v>2780</v>
      </c>
      <c r="I103" s="52">
        <f ca="1">I121</f>
        <v>16693</v>
      </c>
      <c r="J103" s="2840"/>
    </row>
    <row r="104" spans="1:36" ht="13.5" thickBot="1">
      <c r="A104" s="3407"/>
      <c r="B104" s="2810" t="s">
        <v>2811</v>
      </c>
      <c r="C104" s="2811">
        <f ca="1">I121</f>
        <v>16693</v>
      </c>
      <c r="D104" s="2812"/>
      <c r="E104" s="1460"/>
      <c r="F104" s="3349"/>
      <c r="G104" s="3350"/>
      <c r="H104" s="3408"/>
      <c r="I104" s="3409"/>
      <c r="J104" s="2857"/>
    </row>
    <row r="105" spans="1:36" ht="15">
      <c r="A105" s="3414" t="s">
        <v>1874</v>
      </c>
      <c r="B105" s="3415"/>
      <c r="C105" s="3415"/>
      <c r="D105" s="3416"/>
      <c r="E105" s="1460"/>
      <c r="F105" s="3412" t="s">
        <v>2781</v>
      </c>
      <c r="G105" s="3413"/>
      <c r="H105" s="2815" t="str">
        <f>C108</f>
        <v>总额（元）</v>
      </c>
      <c r="I105" s="2814">
        <f>SUMIF(I106:I108,"&lt;9E307")</f>
        <v>0</v>
      </c>
      <c r="J105" s="2856"/>
    </row>
    <row r="106" spans="1:36" ht="14.25">
      <c r="A106" s="3349" t="s">
        <v>2804</v>
      </c>
      <c r="B106" s="3350"/>
      <c r="C106" s="2813" t="str">
        <f>B101</f>
        <v>总价（元）</v>
      </c>
      <c r="D106" s="2814">
        <f ca="1">H121</f>
        <v>2113501</v>
      </c>
      <c r="E106" s="1460"/>
      <c r="F106" s="3351" t="s">
        <v>2782</v>
      </c>
      <c r="G106" s="3352"/>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49"/>
      <c r="B107" s="3350"/>
      <c r="C107" s="2813" t="s">
        <v>2805</v>
      </c>
      <c r="D107" s="52">
        <f ca="1">I121</f>
        <v>16693</v>
      </c>
      <c r="E107" s="1460"/>
      <c r="F107" s="3351" t="s">
        <v>2783</v>
      </c>
      <c r="G107" s="3352"/>
      <c r="H107" s="2815" t="str">
        <f>C110</f>
        <v>总额（元）</v>
      </c>
      <c r="I107" s="52">
        <f>C37</f>
        <v>0</v>
      </c>
      <c r="J107" s="2840"/>
    </row>
    <row r="108" spans="1:36" ht="12.75">
      <c r="A108" s="3356" t="s">
        <v>2781</v>
      </c>
      <c r="B108" s="3357"/>
      <c r="C108" s="2815" t="str">
        <f>IF(H19="元","总额（元）","总额（万元）")</f>
        <v>总额（元）</v>
      </c>
      <c r="D108" s="2814">
        <f>IF(D36="正常操作",I106+I107+I108,I107+I108)</f>
        <v>0</v>
      </c>
      <c r="E108" s="1460"/>
      <c r="F108" s="3351" t="s">
        <v>2808</v>
      </c>
      <c r="G108" s="3352"/>
      <c r="H108" s="2815" t="str">
        <f>C111</f>
        <v>总额（元）</v>
      </c>
      <c r="I108" s="52">
        <f>C38</f>
        <v>0</v>
      </c>
      <c r="J108" s="2840"/>
    </row>
    <row r="109" spans="1:36" ht="12.75">
      <c r="A109" s="3351" t="s">
        <v>2782</v>
      </c>
      <c r="B109" s="3352"/>
      <c r="C109" s="2815" t="str">
        <f>C108</f>
        <v>总额（元）</v>
      </c>
      <c r="D109" s="52">
        <f>IF(D36="同一抵押权人同一抵押物续贷",C36&amp;"（未扣减，详见特别提示）",C36)</f>
        <v>0</v>
      </c>
      <c r="E109" s="1460"/>
      <c r="F109" s="3349"/>
      <c r="G109" s="3350"/>
      <c r="H109" s="3410"/>
      <c r="I109" s="3411"/>
      <c r="J109" s="2858"/>
    </row>
    <row r="110" spans="1:36" ht="28.5" customHeight="1">
      <c r="A110" s="3351" t="s">
        <v>2806</v>
      </c>
      <c r="B110" s="3352"/>
      <c r="C110" s="2815" t="str">
        <f>C108</f>
        <v>总额（元）</v>
      </c>
      <c r="D110" s="52">
        <f>C37</f>
        <v>0</v>
      </c>
      <c r="E110" s="1460"/>
      <c r="F110" s="3341" t="str">
        <f>IF(项目基本情况!F5="已注销","——","3.房地产抵押价值")</f>
        <v>3.房地产抵押价值</v>
      </c>
      <c r="G110" s="3342"/>
      <c r="H110" s="2801" t="str">
        <f>C112</f>
        <v>总价（元）</v>
      </c>
      <c r="I110" s="2814">
        <f ca="1">IF(F110="——","——",I102-I105)</f>
        <v>2113501</v>
      </c>
      <c r="J110" s="2856"/>
    </row>
    <row r="111" spans="1:36" ht="12.75">
      <c r="A111" s="3351" t="s">
        <v>2785</v>
      </c>
      <c r="B111" s="3352"/>
      <c r="C111" s="2815" t="str">
        <f>C108</f>
        <v>总额（元）</v>
      </c>
      <c r="D111" s="52">
        <f>C38</f>
        <v>0</v>
      </c>
      <c r="E111" s="1460"/>
      <c r="F111" s="3439"/>
      <c r="G111" s="3440"/>
      <c r="H111" s="2813" t="s">
        <v>2780</v>
      </c>
      <c r="I111" s="2817">
        <f ca="1">D113</f>
        <v>16693</v>
      </c>
      <c r="J111" s="2859"/>
    </row>
    <row r="112" spans="1:36" ht="26.25" customHeight="1">
      <c r="A112" s="3349" t="str">
        <f>IF(项目基本情况!F5="已注销","——","3.房地产抵押价值")</f>
        <v>3.房地产抵押价值</v>
      </c>
      <c r="B112" s="3350"/>
      <c r="C112" s="2813" t="str">
        <f>B101</f>
        <v>总价（元）</v>
      </c>
      <c r="D112" s="2814">
        <f ca="1">IF(A112="——","——",D106-D108)</f>
        <v>2113501</v>
      </c>
      <c r="E112" s="1460"/>
      <c r="F112" s="3341" t="str">
        <f>IF(项目基本情况!F5="已注销及未注销","4.抵押担保权已注销时的房地产抵押价值",IF(项目基本情况!F5="已注销","3.抵押担保权已注销时的房地产抵押价值","——"))</f>
        <v>——</v>
      </c>
      <c r="G112" s="3342"/>
      <c r="H112" s="2801" t="str">
        <f>C114</f>
        <v>总价（元）</v>
      </c>
      <c r="I112" s="2814" t="str">
        <f>IF(F112="——","——",I102-I107-I108)</f>
        <v>——</v>
      </c>
      <c r="J112" s="2856"/>
    </row>
    <row r="113" spans="1:16" ht="12.75">
      <c r="A113" s="3349"/>
      <c r="B113" s="3350"/>
      <c r="C113" s="2813" t="s">
        <v>2773</v>
      </c>
      <c r="D113" s="52">
        <f ca="1">ROUND(IF(D112=D106,D107,IF(H19="元",D112/项目基本情况!C12,D112*10000/项目基本情况!C12)),0)</f>
        <v>16693</v>
      </c>
      <c r="E113" s="1460"/>
      <c r="F113" s="3439"/>
      <c r="G113" s="3440"/>
      <c r="H113" s="2813" t="s">
        <v>2809</v>
      </c>
      <c r="I113" s="52" t="str">
        <f>D115</f>
        <v>——</v>
      </c>
      <c r="J113" s="2840"/>
    </row>
    <row r="114" spans="1:16" ht="12.75">
      <c r="A114" s="3349" t="str">
        <f>IF(项目基本情况!F5="已注销及未注销","4.抵押担保权已注销时的房地产抵押价值",IF(项目基本情况!F5="已注销","3.抵押担保权已注销时的房地产抵押价值","——"))</f>
        <v>——</v>
      </c>
      <c r="B114" s="3350"/>
      <c r="C114" s="2813" t="str">
        <f>B101</f>
        <v>总价（元）</v>
      </c>
      <c r="D114" s="2814" t="str">
        <f>IF(A114="——","——",D106-D110-D111)</f>
        <v>——</v>
      </c>
      <c r="E114" s="1460"/>
      <c r="F114" s="3341" t="str">
        <f>IF(项目基本情况!G5="抵押净值",IF(OR(项目基本情况!F5="已注销",项目基本情况!F5="房地产抵押价值"),"4.抵押净值","5.抵押净值"),"——")</f>
        <v>——</v>
      </c>
      <c r="G114" s="3342"/>
      <c r="H114" s="2813" t="str">
        <f>C116</f>
        <v>总价（元）</v>
      </c>
      <c r="I114" s="2814" t="str">
        <f>IF(F114="——","——",O59)</f>
        <v>——</v>
      </c>
      <c r="J114" s="2856"/>
    </row>
    <row r="115" spans="1:16" ht="13.5" thickBot="1">
      <c r="A115" s="3349"/>
      <c r="B115" s="3350"/>
      <c r="C115" s="2813" t="s">
        <v>2773</v>
      </c>
      <c r="D115" s="52" t="str">
        <f>IF(A114="——","——",ROUND(IF(D114=D106,D107,IF(H19="元",D114/项目基本情况!C12,D114*10000/项目基本情况!C12)),0))</f>
        <v>——</v>
      </c>
      <c r="E115" s="1460"/>
      <c r="F115" s="3343"/>
      <c r="G115" s="3344"/>
      <c r="H115" s="2818" t="s">
        <v>2773</v>
      </c>
      <c r="I115" s="2802" t="str">
        <f ca="1">D117</f>
        <v>——</v>
      </c>
      <c r="J115" s="2840"/>
    </row>
    <row r="116" spans="1:16" ht="15.75">
      <c r="A116" s="3349" t="str">
        <f>IF(项目基本情况!G5="抵押净值",IF(OR(项目基本情况!F5="已注销",项目基本情况!F5="房地产抵押价值"),"4.抵押净值","5.抵押净值"),"——")</f>
        <v>——</v>
      </c>
      <c r="B116" s="3350"/>
      <c r="C116" s="2813" t="str">
        <f>B101</f>
        <v>总价（元）</v>
      </c>
      <c r="D116" s="2814" t="str">
        <f>IF(A116="——","——",O59)</f>
        <v>——</v>
      </c>
      <c r="E116" s="1460"/>
      <c r="F116" s="3434"/>
      <c r="G116" s="3434"/>
      <c r="H116" s="3398"/>
      <c r="I116" s="3398"/>
      <c r="J116" s="2860"/>
      <c r="O116" s="32"/>
      <c r="P116" s="32"/>
    </row>
    <row r="117" spans="1:16" ht="13.5" thickBot="1">
      <c r="A117" s="3354"/>
      <c r="B117" s="3355"/>
      <c r="C117" s="2818" t="s">
        <v>2773</v>
      </c>
      <c r="D117" s="2802" t="str">
        <f ca="1">IF(D116=D112,D113,IF(A116="——","——",O61))</f>
        <v>——</v>
      </c>
      <c r="E117" s="1460"/>
      <c r="F117" s="3333" t="str">
        <f>IF(B32="总价","（以上估价结果中单价为总价除以建筑面积得出）","（以上估价结果中总价为楼面单价乘以建筑面积得出）")</f>
        <v>（以上估价结果中总价为楼面单价乘以建筑面积得出）</v>
      </c>
      <c r="G117" s="3333"/>
      <c r="H117" s="3333"/>
      <c r="I117" s="3333"/>
      <c r="J117" s="2861"/>
      <c r="O117" s="32"/>
      <c r="P117" s="32"/>
    </row>
    <row r="118" spans="1:16" ht="15">
      <c r="A118" s="3399" t="s">
        <v>1875</v>
      </c>
      <c r="B118" s="3400"/>
      <c r="C118" s="3400"/>
      <c r="D118" s="3400"/>
      <c r="E118" s="3400"/>
      <c r="F118" s="3400"/>
      <c r="G118" s="3400"/>
      <c r="H118" s="3400"/>
      <c r="I118" s="3400"/>
      <c r="J118" s="2862"/>
    </row>
    <row r="119" spans="1:16" ht="12.75">
      <c r="A119" s="3334" t="s">
        <v>2791</v>
      </c>
      <c r="B119" s="3360" t="s">
        <v>2801</v>
      </c>
      <c r="C119" s="3360" t="s">
        <v>2802</v>
      </c>
      <c r="D119" s="3421" t="s">
        <v>2793</v>
      </c>
      <c r="E119" s="3422"/>
      <c r="F119" s="3335" t="s">
        <v>2803</v>
      </c>
      <c r="G119" s="3335"/>
      <c r="H119" s="3335" t="s">
        <v>2794</v>
      </c>
      <c r="I119" s="3420"/>
      <c r="J119" s="2840"/>
    </row>
    <row r="120" spans="1:16" ht="12.75">
      <c r="A120" s="3334"/>
      <c r="B120" s="3361"/>
      <c r="C120" s="3361"/>
      <c r="D120" s="2088" t="s">
        <v>2795</v>
      </c>
      <c r="E120" s="2088" t="s">
        <v>2800</v>
      </c>
      <c r="F120" s="2088" t="s">
        <v>2795</v>
      </c>
      <c r="G120" s="2088" t="s">
        <v>2796</v>
      </c>
      <c r="H120" s="2088" t="s">
        <v>2795</v>
      </c>
      <c r="I120" s="52" t="s">
        <v>2796</v>
      </c>
      <c r="J120" s="2840"/>
    </row>
    <row r="121" spans="1:16" ht="51">
      <c r="A121" s="2078" t="str">
        <f>项目基本情况!I1</f>
        <v>北京市昌平区回龙观镇龙跃苑东四区8号楼房地产</v>
      </c>
      <c r="B121" s="2088">
        <f>项目基本情况!C12</f>
        <v>126.61</v>
      </c>
      <c r="C121" s="2088">
        <f>项目基本情况!C13</f>
        <v>0</v>
      </c>
      <c r="D121" s="2088">
        <f ca="1">ROUND(IF(B32="总价",C34,IF('数据-取费表'!B3="万元",E121*B121/10000,E121*B121)),0)</f>
        <v>1549200</v>
      </c>
      <c r="E121" s="2088">
        <f ca="1">ROUND(IF(B32="楼面单价",C34,IF(H19="元",D121/B121,D121*10000/B121)),0)</f>
        <v>12236</v>
      </c>
      <c r="F121" s="2088">
        <f ca="1">ROUND(IF(B32="总价",C35,IF('数据-取费表'!B3="万元",G121*B121/10000,G121*B121)),0)</f>
        <v>564301</v>
      </c>
      <c r="G121" s="2088">
        <f ca="1">ROUND(IF(B32="楼面单价",C35,IF(H19="元",F121/B121,F121*10000/B121)),0)</f>
        <v>4457</v>
      </c>
      <c r="H121" s="2088">
        <f ca="1">ROUND(IF(B32="总价",C32,IF('数据-取费表'!B3="万元",I121*B121/10000,I121*B121)),0)</f>
        <v>2113501</v>
      </c>
      <c r="I121" s="52">
        <f ca="1">ROUND(IF(B32="楼面单价",C32,IF(H19="元",H121/B121,H121*10000/B121)),0)</f>
        <v>16693</v>
      </c>
      <c r="J121" s="2840"/>
    </row>
    <row r="122" spans="1:16" ht="12.75">
      <c r="A122" s="3334" t="s">
        <v>2797</v>
      </c>
      <c r="B122" s="3335"/>
      <c r="C122" s="3335"/>
      <c r="D122" s="3362" t="str">
        <f ca="1">IF(H19="元",NUMBERSTRING(INT(D121),2)&amp;"元整",NUMBERSTRING(INT(D121*10000),2)&amp;"元整")</f>
        <v>壹佰伍拾肆万玖仟贰佰元整</v>
      </c>
      <c r="E122" s="3404"/>
      <c r="F122" s="3362" t="str">
        <f ca="1">IF(H19="元",NUMBERSTRING(INT(F121),2)&amp;"元整",NUMBERSTRING(INT(F121*10000),2)&amp;"元整")</f>
        <v>伍拾陆万肆仟叁佰零壹元整</v>
      </c>
      <c r="G122" s="3404"/>
      <c r="H122" s="3362" t="str">
        <f ca="1">IF(H19="元",NUMBERSTRING(INT(H121),2)&amp;"元整",NUMBERSTRING(INT(H121*10000),2)&amp;"元整")</f>
        <v>贰佰壹拾壹万叁仟伍佰零壹元整</v>
      </c>
      <c r="I122" s="3363"/>
      <c r="J122" s="2863"/>
    </row>
    <row r="123" spans="1:16" ht="12.75">
      <c r="A123" s="3339" t="str">
        <f>IF(项目基本情况!D5="房地产市场价值","——",MID(A108,3,LEN(A108)-2))</f>
        <v>——</v>
      </c>
      <c r="B123" s="3345"/>
      <c r="C123" s="3340"/>
      <c r="D123" s="3337">
        <f>I105</f>
        <v>0</v>
      </c>
      <c r="E123" s="3345"/>
      <c r="F123" s="3345"/>
      <c r="G123" s="3345"/>
      <c r="H123" s="3345"/>
      <c r="I123" s="3338"/>
      <c r="J123" s="2856"/>
    </row>
    <row r="124" spans="1:16" ht="12.75">
      <c r="A124" s="3405" t="s">
        <v>2797</v>
      </c>
      <c r="B124" s="3374"/>
      <c r="C124" s="3375"/>
      <c r="D124" s="3346">
        <f>H109</f>
        <v>0</v>
      </c>
      <c r="E124" s="3347"/>
      <c r="F124" s="3347"/>
      <c r="G124" s="3347"/>
      <c r="H124" s="3347"/>
      <c r="I124" s="3348"/>
      <c r="J124" s="2864"/>
    </row>
    <row r="125" spans="1:16" ht="12.75">
      <c r="A125" s="3349" t="str">
        <f>IF(项目基本情况!D5="房地产市场价值","——",MID(A112,3,LEN(A112)-2))</f>
        <v>——</v>
      </c>
      <c r="B125" s="3350"/>
      <c r="C125" s="3350"/>
      <c r="D125" s="3337">
        <f ca="1">I110</f>
        <v>2113501</v>
      </c>
      <c r="E125" s="3345"/>
      <c r="F125" s="3345"/>
      <c r="G125" s="3345"/>
      <c r="H125" s="3345"/>
      <c r="I125" s="3338"/>
      <c r="J125" s="2856"/>
    </row>
    <row r="126" spans="1:16" ht="12.75">
      <c r="A126" s="3334" t="s">
        <v>2797</v>
      </c>
      <c r="B126" s="3335"/>
      <c r="C126" s="3335"/>
      <c r="D126" s="3346">
        <f ca="1">I111</f>
        <v>16693</v>
      </c>
      <c r="E126" s="3347"/>
      <c r="F126" s="3347"/>
      <c r="G126" s="3347"/>
      <c r="H126" s="3347"/>
      <c r="I126" s="3348"/>
      <c r="J126" s="2864"/>
    </row>
    <row r="127" spans="1:16" ht="13.5" thickBot="1">
      <c r="A127" s="3349" t="str">
        <f>IF(项目基本情况!D5="房地产市场价值","——",MID(A114,3,LEN(A114)-2))</f>
        <v>——</v>
      </c>
      <c r="B127" s="3350"/>
      <c r="C127" s="3350"/>
      <c r="D127" s="3382" t="str">
        <f>I112</f>
        <v>——</v>
      </c>
      <c r="E127" s="3383"/>
      <c r="F127" s="3383"/>
      <c r="G127" s="3383"/>
      <c r="H127" s="3383"/>
      <c r="I127" s="3433"/>
      <c r="J127" s="2856"/>
    </row>
    <row r="128" spans="1:16" ht="14.25" thickTop="1" thickBot="1">
      <c r="A128" s="3334" t="s">
        <v>2797</v>
      </c>
      <c r="B128" s="3335"/>
      <c r="C128" s="3336"/>
      <c r="D128" s="3397" t="str">
        <f>I113</f>
        <v>——</v>
      </c>
      <c r="E128" s="3397"/>
      <c r="F128" s="3397"/>
      <c r="G128" s="3397"/>
      <c r="H128" s="3397"/>
      <c r="I128" s="3397"/>
      <c r="J128" s="2864"/>
    </row>
    <row r="129" spans="1:10" ht="14.25" thickTop="1" thickBot="1">
      <c r="A129" s="3349" t="str">
        <f>IF(项目基本情况!D5="房地产市场价值","——",MID(F114,3,LEN(F114)-2))</f>
        <v>——</v>
      </c>
      <c r="B129" s="3350"/>
      <c r="C129" s="3337"/>
      <c r="D129" s="3353" t="str">
        <f>I114</f>
        <v>——</v>
      </c>
      <c r="E129" s="3353"/>
      <c r="F129" s="3353"/>
      <c r="G129" s="3353"/>
      <c r="H129" s="3353"/>
      <c r="I129" s="3353"/>
      <c r="J129" s="2856"/>
    </row>
    <row r="130" spans="1:10" ht="14.25" thickTop="1" thickBot="1">
      <c r="A130" s="3358" t="s">
        <v>2797</v>
      </c>
      <c r="B130" s="3359"/>
      <c r="C130" s="3359"/>
      <c r="D130" s="3364">
        <f>H116</f>
        <v>0</v>
      </c>
      <c r="E130" s="3365"/>
      <c r="F130" s="3365"/>
      <c r="G130" s="3365"/>
      <c r="H130" s="3365"/>
      <c r="I130" s="3366"/>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332" t="str">
        <f>IF(B32="总价","（以上估价结果中楼面单价为总价除以建筑面积得出）","（以上估价结果中总价为楼面单价乘以建筑面积得出）")</f>
        <v>（以上估价结果中总价为楼面单价乘以建筑面积得出）</v>
      </c>
      <c r="B132" s="3332"/>
      <c r="C132" s="3332"/>
      <c r="D132" s="3332"/>
      <c r="E132" s="3332"/>
      <c r="F132" s="3332"/>
      <c r="G132" s="3332"/>
      <c r="H132" s="3332"/>
      <c r="I132" s="3332"/>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65" t="s">
        <v>1884</v>
      </c>
      <c r="B2" s="3465"/>
      <c r="C2" s="3465"/>
      <c r="D2" s="3465"/>
      <c r="E2" s="3465"/>
      <c r="F2" s="3465"/>
      <c r="G2" s="3465"/>
      <c r="H2" s="3465"/>
      <c r="I2" s="3465"/>
      <c r="J2" s="2869"/>
    </row>
    <row r="3" spans="1:15" ht="12.75">
      <c r="A3" s="3389" t="s">
        <v>1712</v>
      </c>
      <c r="B3" s="3390"/>
      <c r="C3" s="3390"/>
      <c r="D3" s="3390"/>
      <c r="E3" s="3390"/>
      <c r="F3" s="3390"/>
      <c r="G3" s="3390"/>
      <c r="H3" s="3390"/>
      <c r="I3" s="3390"/>
      <c r="J3" s="2839"/>
    </row>
    <row r="4" spans="1:15" ht="14.25">
      <c r="A4" s="2707" t="s">
        <v>1713</v>
      </c>
      <c r="B4" s="2707" t="s">
        <v>1714</v>
      </c>
      <c r="C4" s="2708"/>
      <c r="D4" s="2708"/>
      <c r="E4" s="3336" t="s">
        <v>1885</v>
      </c>
      <c r="F4" s="3374"/>
      <c r="G4" s="3374"/>
      <c r="H4" s="3374"/>
      <c r="I4" s="3375"/>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67" t="s">
        <v>1716</v>
      </c>
      <c r="B5" s="3367">
        <v>25</v>
      </c>
      <c r="C5" s="3376"/>
      <c r="D5" s="3466"/>
      <c r="E5" s="12" t="s">
        <v>1717</v>
      </c>
      <c r="F5" s="2085"/>
      <c r="G5" s="2085"/>
      <c r="H5" s="2085"/>
      <c r="I5" s="2080"/>
      <c r="J5" s="2840"/>
    </row>
    <row r="6" spans="1:15" ht="12.75">
      <c r="A6" s="3367"/>
      <c r="B6" s="3367"/>
      <c r="C6" s="3391"/>
      <c r="D6" s="3466"/>
      <c r="E6" s="12" t="s">
        <v>1718</v>
      </c>
      <c r="F6" s="2085"/>
      <c r="G6" s="2085"/>
      <c r="H6" s="2085"/>
      <c r="I6" s="2080"/>
      <c r="J6" s="2840"/>
    </row>
    <row r="7" spans="1:15" ht="12.75">
      <c r="A7" s="3367"/>
      <c r="B7" s="3367"/>
      <c r="C7" s="3377"/>
      <c r="D7" s="3466"/>
      <c r="E7" s="12" t="s">
        <v>1719</v>
      </c>
      <c r="F7" s="2085"/>
      <c r="G7" s="2085"/>
      <c r="H7" s="2085"/>
      <c r="I7" s="2080"/>
      <c r="J7" s="2840"/>
    </row>
    <row r="8" spans="1:15" ht="12.75">
      <c r="A8" s="3367" t="s">
        <v>1720</v>
      </c>
      <c r="B8" s="3367">
        <v>15</v>
      </c>
      <c r="C8" s="3376"/>
      <c r="D8" s="3466"/>
      <c r="E8" s="12" t="s">
        <v>1721</v>
      </c>
      <c r="F8" s="2085"/>
      <c r="G8" s="2085"/>
      <c r="H8" s="2085"/>
      <c r="I8" s="2080"/>
      <c r="J8" s="2840"/>
    </row>
    <row r="9" spans="1:15" ht="12.75">
      <c r="A9" s="3367"/>
      <c r="B9" s="3367"/>
      <c r="C9" s="3377"/>
      <c r="D9" s="3466"/>
      <c r="E9" s="12" t="s">
        <v>1722</v>
      </c>
      <c r="F9" s="2085"/>
      <c r="G9" s="2085"/>
      <c r="H9" s="2085"/>
      <c r="I9" s="2080"/>
      <c r="J9" s="2840"/>
    </row>
    <row r="10" spans="1:15" ht="12.75">
      <c r="A10" s="3367" t="s">
        <v>1723</v>
      </c>
      <c r="B10" s="3367">
        <v>15</v>
      </c>
      <c r="C10" s="3376"/>
      <c r="D10" s="3466"/>
      <c r="E10" s="12" t="s">
        <v>1724</v>
      </c>
      <c r="F10" s="2085"/>
      <c r="G10" s="2085"/>
      <c r="H10" s="2085"/>
      <c r="I10" s="2080"/>
      <c r="J10" s="2840"/>
    </row>
    <row r="11" spans="1:15" ht="12.75">
      <c r="A11" s="3367"/>
      <c r="B11" s="3367"/>
      <c r="C11" s="3377"/>
      <c r="D11" s="3466"/>
      <c r="E11" s="12" t="s">
        <v>1725</v>
      </c>
      <c r="F11" s="2085"/>
      <c r="G11" s="2085"/>
      <c r="H11" s="2085"/>
      <c r="I11" s="2080"/>
      <c r="J11" s="2840"/>
    </row>
    <row r="12" spans="1:15" ht="12.75">
      <c r="A12" s="3367" t="s">
        <v>1726</v>
      </c>
      <c r="B12" s="3367">
        <v>15</v>
      </c>
      <c r="C12" s="3376"/>
      <c r="D12" s="3466"/>
      <c r="E12" s="12" t="s">
        <v>1727</v>
      </c>
      <c r="F12" s="2085"/>
      <c r="G12" s="2085"/>
      <c r="H12" s="2085"/>
      <c r="I12" s="2080"/>
      <c r="J12" s="2840"/>
    </row>
    <row r="13" spans="1:15" ht="12.75">
      <c r="A13" s="3367"/>
      <c r="B13" s="3367"/>
      <c r="C13" s="3377"/>
      <c r="D13" s="3466"/>
      <c r="E13" s="12" t="s">
        <v>1728</v>
      </c>
      <c r="F13" s="2085"/>
      <c r="G13" s="2085"/>
      <c r="H13" s="2085"/>
      <c r="I13" s="2080"/>
      <c r="J13" s="2840"/>
    </row>
    <row r="14" spans="1:15" ht="12.75">
      <c r="A14" s="3367" t="s">
        <v>1729</v>
      </c>
      <c r="B14" s="3367">
        <v>30</v>
      </c>
      <c r="C14" s="3376"/>
      <c r="D14" s="3466"/>
      <c r="E14" s="12" t="s">
        <v>1730</v>
      </c>
      <c r="F14" s="2085"/>
      <c r="G14" s="2085"/>
      <c r="H14" s="2085"/>
      <c r="I14" s="2080"/>
      <c r="J14" s="2840"/>
    </row>
    <row r="15" spans="1:15" ht="12.75">
      <c r="A15" s="3367"/>
      <c r="B15" s="3367"/>
      <c r="C15" s="3391"/>
      <c r="D15" s="3466"/>
      <c r="E15" s="12" t="s">
        <v>1731</v>
      </c>
      <c r="F15" s="2085"/>
      <c r="G15" s="2085"/>
      <c r="H15" s="2085"/>
      <c r="I15" s="2080"/>
      <c r="J15" s="2840"/>
    </row>
    <row r="16" spans="1:15" ht="12.75">
      <c r="A16" s="3367"/>
      <c r="B16" s="3367"/>
      <c r="C16" s="3377"/>
      <c r="D16" s="3466"/>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385" t="s">
        <v>2816</v>
      </c>
      <c r="F18" s="3386"/>
      <c r="G18" s="3386"/>
      <c r="H18" s="3386"/>
      <c r="I18" s="3386"/>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378" t="s">
        <v>1741</v>
      </c>
      <c r="B24" s="2715" t="s">
        <v>1736</v>
      </c>
      <c r="C24" s="2718">
        <f>D30</f>
        <v>0</v>
      </c>
      <c r="D24" s="2670"/>
      <c r="E24" s="947"/>
      <c r="F24" s="947"/>
      <c r="G24" s="947"/>
      <c r="H24" s="947"/>
      <c r="I24" s="947"/>
      <c r="J24" s="2841"/>
    </row>
    <row r="25" spans="1:36" ht="21.75" customHeight="1">
      <c r="A25" s="3394"/>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42" t="s">
        <v>1888</v>
      </c>
      <c r="B32" s="3442"/>
      <c r="C32" s="3442"/>
      <c r="D32" s="3442"/>
      <c r="E32" s="3442"/>
      <c r="F32" s="3442"/>
      <c r="G32" s="3442"/>
      <c r="H32" s="3442"/>
      <c r="I32" s="3442"/>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378" t="s">
        <v>1897</v>
      </c>
      <c r="B38" s="1467" t="s">
        <v>1898</v>
      </c>
      <c r="C38" s="2751"/>
      <c r="D38" s="2752"/>
      <c r="E38" s="1679"/>
      <c r="F38" s="1679"/>
      <c r="G38" s="947"/>
      <c r="H38" s="947"/>
      <c r="I38" s="947"/>
      <c r="J38" s="2841"/>
    </row>
    <row r="39" spans="1:16" ht="15.75" thickBot="1">
      <c r="A39" s="3379"/>
      <c r="B39" s="2090" t="s">
        <v>1899</v>
      </c>
      <c r="C39" s="2753"/>
      <c r="D39" s="1311"/>
      <c r="E39" s="1311"/>
      <c r="F39" s="1679"/>
      <c r="G39" s="1311"/>
      <c r="H39" s="1311"/>
      <c r="I39" s="1311"/>
      <c r="J39" s="2845"/>
    </row>
    <row r="40" spans="1:16" ht="15.75" thickBot="1">
      <c r="A40" s="3380"/>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82" t="s">
        <v>1910</v>
      </c>
      <c r="B47" s="3383"/>
      <c r="C47" s="3342"/>
      <c r="D47" s="246">
        <f>ROUND(I104*F47,0)</f>
        <v>0</v>
      </c>
      <c r="E47" s="1541" t="s">
        <v>1911</v>
      </c>
      <c r="F47" s="2560">
        <v>1</v>
      </c>
      <c r="G47" s="2561" t="s">
        <v>1912</v>
      </c>
      <c r="H47" s="947"/>
      <c r="I47" s="947"/>
      <c r="J47" s="2841"/>
      <c r="K47" s="3468" t="s">
        <v>1768</v>
      </c>
      <c r="L47" s="3468"/>
      <c r="M47" s="3468"/>
      <c r="N47" s="3468"/>
      <c r="O47" s="3468"/>
      <c r="P47" s="3468"/>
    </row>
    <row r="48" spans="1:16" ht="14.25" customHeight="1">
      <c r="A48" s="3371" t="s">
        <v>1769</v>
      </c>
      <c r="B48" s="3372"/>
      <c r="C48" s="3372"/>
      <c r="D48" s="3372"/>
      <c r="E48" s="3372"/>
      <c r="F48" s="3372"/>
      <c r="G48" s="3373"/>
      <c r="H48" s="2973"/>
      <c r="I48" s="947"/>
      <c r="J48" s="2841"/>
      <c r="K48" s="2512">
        <v>1</v>
      </c>
      <c r="L48" s="3462" t="s">
        <v>1770</v>
      </c>
      <c r="M48" s="3462"/>
      <c r="N48" s="3469"/>
      <c r="O48" s="3469"/>
      <c r="P48" s="3469"/>
    </row>
    <row r="49" spans="1:17" ht="12" customHeight="1">
      <c r="A49" s="38" t="s">
        <v>1771</v>
      </c>
      <c r="B49" s="39"/>
      <c r="C49" s="40"/>
      <c r="D49" s="1099" t="s">
        <v>1772</v>
      </c>
      <c r="E49" s="235" t="s">
        <v>1773</v>
      </c>
      <c r="F49" s="41" t="s">
        <v>1774</v>
      </c>
      <c r="G49" s="2563" t="s">
        <v>1775</v>
      </c>
      <c r="H49" s="2973"/>
      <c r="I49" s="947"/>
      <c r="J49" s="2841"/>
      <c r="K49" s="2512">
        <v>2</v>
      </c>
      <c r="L49" s="3462" t="s">
        <v>1776</v>
      </c>
      <c r="M49" s="3462"/>
      <c r="N49" s="3470">
        <f>'数据-取费表'!B2</f>
        <v>41443</v>
      </c>
      <c r="O49" s="3470"/>
      <c r="P49" s="3470"/>
    </row>
    <row r="50" spans="1:17" ht="25.5">
      <c r="A50" s="3381" t="s">
        <v>1777</v>
      </c>
      <c r="B50" s="3335"/>
      <c r="C50" s="3335"/>
      <c r="D50" s="12">
        <f>IF(H50="情况1",0,IF(H50="情况2",D54,IF(H50="情况3",D55,IF(H50="情况4",D56))))</f>
        <v>0</v>
      </c>
      <c r="E50" s="2088" t="str">
        <f>IF(H50="情况4","(销售额-原购置价)×税（费）率","销售额×税（费）率")</f>
        <v>销售额×税（费）率</v>
      </c>
      <c r="F50" s="2564">
        <f>IF(H50="情况1","免征",'数据-取费表'!E29)</f>
        <v>5.5000000000000007E-2</v>
      </c>
      <c r="G50" s="2565" t="s">
        <v>1778</v>
      </c>
      <c r="H50" s="2566" t="s">
        <v>1779</v>
      </c>
      <c r="I50" s="2973"/>
      <c r="J50" s="2848"/>
      <c r="K50" s="2512">
        <v>3</v>
      </c>
      <c r="L50" s="3462" t="s">
        <v>1780</v>
      </c>
      <c r="M50" s="3462"/>
      <c r="N50" s="3463">
        <f>I104</f>
        <v>0</v>
      </c>
      <c r="O50" s="3463"/>
      <c r="P50" s="3463"/>
    </row>
    <row r="51" spans="1:17" ht="25.5" customHeight="1">
      <c r="A51" s="2087" t="s">
        <v>1781</v>
      </c>
      <c r="B51" s="3374" t="s">
        <v>1782</v>
      </c>
      <c r="C51" s="3374"/>
      <c r="D51" s="2567">
        <v>0</v>
      </c>
      <c r="E51" s="261" t="s">
        <v>1783</v>
      </c>
      <c r="F51" s="2568" t="s">
        <v>48</v>
      </c>
      <c r="G51" s="3430"/>
      <c r="H51" s="2569" t="s">
        <v>2740</v>
      </c>
      <c r="I51" s="2570"/>
      <c r="J51" s="2849"/>
      <c r="K51" s="2512">
        <v>4</v>
      </c>
      <c r="L51" s="3462" t="str">
        <f>IF(项目基本情况!F5="房地产抵押价值","房地产抵押价值","抵押担保权已注销时的房地产抵押价值")</f>
        <v>抵押担保权已注销时的房地产抵押价值</v>
      </c>
      <c r="M51" s="3462"/>
      <c r="N51" s="3463" t="str">
        <f>IF(项目基本情况!F5="房地产抵押价值",I112,I114)</f>
        <v>——</v>
      </c>
      <c r="O51" s="3463"/>
      <c r="P51" s="3463"/>
    </row>
    <row r="52" spans="1:17" ht="25.5" customHeight="1">
      <c r="A52" s="2077"/>
      <c r="B52" s="3374" t="s">
        <v>1784</v>
      </c>
      <c r="C52" s="3374"/>
      <c r="D52" s="2571"/>
      <c r="E52" s="269"/>
      <c r="F52" s="2568"/>
      <c r="G52" s="3431"/>
      <c r="H52" s="2572" t="s">
        <v>2741</v>
      </c>
      <c r="I52" s="2570"/>
      <c r="J52" s="2849"/>
      <c r="K52" s="3462" t="s">
        <v>1785</v>
      </c>
      <c r="L52" s="3462"/>
      <c r="M52" s="3462"/>
      <c r="N52" s="3462"/>
      <c r="O52" s="3462"/>
      <c r="P52" s="3462"/>
    </row>
    <row r="53" spans="1:17" ht="20.45" customHeight="1">
      <c r="A53" s="2573"/>
      <c r="B53" s="3374" t="s">
        <v>1786</v>
      </c>
      <c r="C53" s="3374"/>
      <c r="D53" s="1099"/>
      <c r="E53" s="264"/>
      <c r="F53" s="2568"/>
      <c r="G53" s="3432"/>
      <c r="H53" s="2572" t="s">
        <v>2742</v>
      </c>
      <c r="I53" s="2570"/>
      <c r="J53" s="2849"/>
      <c r="K53" s="2513" t="s">
        <v>1787</v>
      </c>
      <c r="L53" s="3462" t="s">
        <v>1788</v>
      </c>
      <c r="M53" s="3462"/>
      <c r="N53" s="2513" t="s">
        <v>1789</v>
      </c>
      <c r="O53" s="2513" t="s">
        <v>1790</v>
      </c>
      <c r="P53" s="2513" t="s">
        <v>1791</v>
      </c>
    </row>
    <row r="54" spans="1:17" ht="24" customHeight="1">
      <c r="A54" s="2078" t="s">
        <v>1792</v>
      </c>
      <c r="B54" s="3374" t="s">
        <v>1793</v>
      </c>
      <c r="C54" s="3374"/>
      <c r="D54" s="1099">
        <f>ROUND(D47*'数据-取费表'!E29/(1+'数据-取费表'!F30),0)</f>
        <v>0</v>
      </c>
      <c r="E54" s="2088" t="s">
        <v>1794</v>
      </c>
      <c r="F54" s="2574">
        <f>'数据-取费表'!E29</f>
        <v>5.5000000000000007E-2</v>
      </c>
      <c r="G54" s="2575"/>
      <c r="H54" s="947"/>
      <c r="I54" s="2974"/>
      <c r="J54" s="2849"/>
      <c r="K54" s="2512">
        <v>1</v>
      </c>
      <c r="L54" s="3458" t="s">
        <v>1795</v>
      </c>
      <c r="M54" s="3458"/>
      <c r="N54" s="2514">
        <f>D50</f>
        <v>0</v>
      </c>
      <c r="O54" s="2512" t="str">
        <f>E50</f>
        <v>销售额×税（费）率</v>
      </c>
      <c r="P54" s="2515">
        <f>F50</f>
        <v>5.5000000000000007E-2</v>
      </c>
    </row>
    <row r="55" spans="1:17" ht="12" customHeight="1">
      <c r="A55" s="2078" t="s">
        <v>1796</v>
      </c>
      <c r="B55" s="3336" t="s">
        <v>2834</v>
      </c>
      <c r="C55" s="3375"/>
      <c r="D55" s="1099">
        <f>ROUND(D47*'数据-取费表'!E29/(1+'数据-取费表'!F30),0)</f>
        <v>0</v>
      </c>
      <c r="E55" s="2088" t="s">
        <v>1794</v>
      </c>
      <c r="F55" s="2574">
        <f>'数据-取费表'!E29</f>
        <v>5.5000000000000007E-2</v>
      </c>
      <c r="G55" s="2575"/>
      <c r="H55" s="947"/>
      <c r="I55" s="2974"/>
      <c r="J55" s="2849"/>
      <c r="K55" s="2512">
        <v>2</v>
      </c>
      <c r="L55" s="3458" t="s">
        <v>1797</v>
      </c>
      <c r="M55" s="3458"/>
      <c r="N55" s="2514">
        <f t="shared" ref="N55:P56" si="1">D57</f>
        <v>0</v>
      </c>
      <c r="O55" s="2512" t="str">
        <f t="shared" si="1"/>
        <v>销售额×税（费）率</v>
      </c>
      <c r="P55" s="2515">
        <f t="shared" si="1"/>
        <v>5.0000000000000001E-4</v>
      </c>
    </row>
    <row r="56" spans="1:17" ht="12" customHeight="1">
      <c r="A56" s="2078" t="s">
        <v>1798</v>
      </c>
      <c r="B56" s="3336" t="s">
        <v>2835</v>
      </c>
      <c r="C56" s="3375"/>
      <c r="D56" s="1099">
        <f>C70</f>
        <v>0</v>
      </c>
      <c r="E56" s="264" t="s">
        <v>1799</v>
      </c>
      <c r="F56" s="2574">
        <f>'数据-取费表'!E29</f>
        <v>5.5000000000000007E-2</v>
      </c>
      <c r="G56" s="2575"/>
      <c r="H56" s="2975"/>
      <c r="I56" s="2974"/>
      <c r="J56" s="2849"/>
      <c r="K56" s="2512">
        <v>3</v>
      </c>
      <c r="L56" s="3458" t="s">
        <v>1800</v>
      </c>
      <c r="M56" s="3458"/>
      <c r="N56" s="2514">
        <f t="shared" si="1"/>
        <v>0</v>
      </c>
      <c r="O56" s="2512" t="str">
        <f t="shared" si="1"/>
        <v>增值额×税（费）率</v>
      </c>
      <c r="P56" s="2516" t="str">
        <f t="shared" si="1"/>
        <v>——</v>
      </c>
    </row>
    <row r="57" spans="1:17" ht="24" customHeight="1">
      <c r="A57" s="3334" t="s">
        <v>1801</v>
      </c>
      <c r="B57" s="3335"/>
      <c r="C57" s="3335"/>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58" t="str">
        <f>IF(H61="非个人房产","——","个人所得税")</f>
        <v>个人所得税</v>
      </c>
      <c r="M57" s="3458"/>
      <c r="N57" s="2517">
        <f>D61</f>
        <v>0</v>
      </c>
      <c r="O57" s="2518" t="str">
        <f>E61</f>
        <v>销售额×税（费）率</v>
      </c>
      <c r="P57" s="2519">
        <f>F61</f>
        <v>0.01</v>
      </c>
    </row>
    <row r="58" spans="1:17" ht="24.75">
      <c r="A58" s="3334" t="s">
        <v>1804</v>
      </c>
      <c r="B58" s="3335"/>
      <c r="C58" s="3335"/>
      <c r="D58" s="12">
        <f>IF(H58="个人住宅",D59,D60)</f>
        <v>0</v>
      </c>
      <c r="E58" s="2088" t="s">
        <v>1805</v>
      </c>
      <c r="F58" s="2574" t="str">
        <f>IF(H58="正常",F60,"免征")</f>
        <v>——</v>
      </c>
      <c r="G58" s="2576" t="s">
        <v>1806</v>
      </c>
      <c r="H58" s="2577" t="s">
        <v>1803</v>
      </c>
      <c r="I58" s="2976"/>
      <c r="J58" s="2849"/>
      <c r="K58" s="2512" t="str">
        <f>IF(项目基本情况!I6="上海银行",IF(K57="",4,K57+1),"")</f>
        <v/>
      </c>
      <c r="L58" s="3460" t="str">
        <f>IF(项目基本情况!I6="上海银行","其他处置费用","")</f>
        <v/>
      </c>
      <c r="M58" s="3461"/>
      <c r="N58" s="2514" t="str">
        <f>IF(项目基本情况!I6="上海银行",N71,"")</f>
        <v/>
      </c>
      <c r="O58" s="3460" t="str">
        <f>IF(项目基本情况!I6="上海银行","包含处置中涉及的律师、诉讼、拍卖、评估等费用","")</f>
        <v/>
      </c>
      <c r="P58" s="3464"/>
    </row>
    <row r="59" spans="1:17" ht="12.75">
      <c r="A59" s="2078" t="s">
        <v>1781</v>
      </c>
      <c r="B59" s="3336" t="s">
        <v>1807</v>
      </c>
      <c r="C59" s="3375"/>
      <c r="D59" s="2567">
        <v>0</v>
      </c>
      <c r="E59" s="261" t="s">
        <v>1783</v>
      </c>
      <c r="F59" s="235"/>
      <c r="G59" s="2575"/>
      <c r="H59" s="2976"/>
      <c r="I59" s="2976"/>
      <c r="J59" s="2849"/>
      <c r="K59" s="3458">
        <f>IF(AND(K57="",K58=""),4,IF(项目基本情况!I6="上海银行",K58+1,K57+1))</f>
        <v>5</v>
      </c>
      <c r="L59" s="3458" t="s">
        <v>1808</v>
      </c>
      <c r="M59" s="2520" t="s">
        <v>1809</v>
      </c>
      <c r="N59" s="2521"/>
      <c r="O59" s="2522">
        <f>SUMIF(N54:N58,"&lt;9e307")</f>
        <v>0</v>
      </c>
      <c r="P59" s="2523"/>
      <c r="Q59" s="1306" t="e">
        <f>O59/N51</f>
        <v>#VALUE!</v>
      </c>
    </row>
    <row r="60" spans="1:17" ht="24.75">
      <c r="A60" s="2078" t="s">
        <v>1792</v>
      </c>
      <c r="B60" s="3336" t="s">
        <v>1810</v>
      </c>
      <c r="C60" s="3374"/>
      <c r="D60" s="12">
        <f>IF(H60="转让取得",C83,C99)</f>
        <v>0</v>
      </c>
      <c r="E60" s="2088" t="s">
        <v>1805</v>
      </c>
      <c r="F60" s="235" t="s">
        <v>48</v>
      </c>
      <c r="G60" s="2575"/>
      <c r="H60" s="2577" t="s">
        <v>1811</v>
      </c>
      <c r="I60" s="2976"/>
      <c r="J60" s="2849"/>
      <c r="K60" s="3458"/>
      <c r="L60" s="3458"/>
      <c r="M60" s="2520" t="s">
        <v>1812</v>
      </c>
      <c r="N60" s="2524"/>
      <c r="O60" s="2525" t="str">
        <f>IF(H19="元",NUMBERSTRING(INT(O59),2)&amp;"元整",NUMBERSTRING(INT(O59*10000),2)&amp;"元整")</f>
        <v>零元整</v>
      </c>
      <c r="P60" s="2526"/>
    </row>
    <row r="61" spans="1:17" ht="26.25" thickBot="1">
      <c r="A61" s="3358" t="s">
        <v>1813</v>
      </c>
      <c r="B61" s="3359"/>
      <c r="C61" s="3359"/>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6">
        <f>K59+1</f>
        <v>6</v>
      </c>
      <c r="L61" s="3458" t="s">
        <v>1814</v>
      </c>
      <c r="M61" s="2512" t="s">
        <v>1809</v>
      </c>
      <c r="N61" s="2527"/>
      <c r="O61" s="2528" t="e">
        <f>N51-O59</f>
        <v>#VALUE!</v>
      </c>
      <c r="P61" s="2529"/>
    </row>
    <row r="62" spans="1:17" ht="12" customHeight="1">
      <c r="A62" s="1456"/>
      <c r="B62" s="2562"/>
      <c r="C62" s="2562"/>
      <c r="D62" s="2562"/>
      <c r="E62" s="1456"/>
      <c r="F62" s="2976"/>
      <c r="G62" s="2976"/>
      <c r="H62" s="2971"/>
      <c r="I62" s="947"/>
      <c r="J62" s="2849"/>
      <c r="K62" s="3457"/>
      <c r="L62" s="3458"/>
      <c r="M62" s="2520" t="s">
        <v>1812</v>
      </c>
      <c r="N62" s="2524"/>
      <c r="O62" s="2525" t="e">
        <f>IF(H19="元",NUMBERSTRING(INT(O61),2)&amp;"元整",NUMBERSTRING(INT(O61*10000),2)&amp;"元整")</f>
        <v>#VALUE!</v>
      </c>
      <c r="P62" s="2526"/>
    </row>
    <row r="63" spans="1:17" ht="13.5" thickBot="1">
      <c r="A63" s="3459" t="s">
        <v>1815</v>
      </c>
      <c r="B63" s="3459"/>
      <c r="C63" s="3459"/>
      <c r="D63" s="3459"/>
      <c r="E63" s="3459"/>
      <c r="F63" s="2976"/>
      <c r="G63" s="2976"/>
      <c r="H63" s="2971"/>
      <c r="I63" s="947"/>
      <c r="J63" s="2841"/>
      <c r="K63" s="2512">
        <f>K61+1</f>
        <v>7</v>
      </c>
      <c r="L63" s="3458" t="s">
        <v>1816</v>
      </c>
      <c r="M63" s="3458"/>
      <c r="N63" s="2530"/>
      <c r="O63" s="2531" t="e">
        <f>IF(H19="元",ROUND(O61/项目基本情况!C12,0),ROUND(O61*10000/项目基本情况!C12,0))</f>
        <v>#VALUE!</v>
      </c>
      <c r="P63" s="2532"/>
    </row>
    <row r="64" spans="1:17" ht="12.75">
      <c r="A64" s="3392" t="s">
        <v>1817</v>
      </c>
      <c r="B64" s="3393"/>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67"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67"/>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67"/>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67"/>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67"/>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5.5000000000000007E-2</v>
      </c>
      <c r="E70" s="57"/>
      <c r="F70" s="2976"/>
      <c r="G70" s="2976"/>
      <c r="H70" s="2971"/>
      <c r="I70" s="947"/>
      <c r="J70" s="2841"/>
      <c r="K70" s="3467"/>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67"/>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3" t="s">
        <v>1837</v>
      </c>
      <c r="B72" s="3454"/>
      <c r="C72" s="3454"/>
      <c r="D72" s="3454"/>
      <c r="E72" s="3454"/>
      <c r="F72" s="3454"/>
      <c r="G72" s="3454"/>
      <c r="H72" s="3454"/>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92" t="s">
        <v>1817</v>
      </c>
      <c r="B73" s="3393"/>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336" t="s">
        <v>1847</v>
      </c>
      <c r="F78" s="3374"/>
      <c r="G78" s="3374"/>
      <c r="H78" s="3388"/>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5.000000000000001E-3</v>
      </c>
      <c r="E80" s="3368" t="s">
        <v>1852</v>
      </c>
      <c r="F80" s="3369"/>
      <c r="G80" s="3369"/>
      <c r="H80" s="3370"/>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3" t="s">
        <v>1856</v>
      </c>
      <c r="B85" s="3454"/>
      <c r="C85" s="3454"/>
      <c r="D85" s="3454"/>
      <c r="E85" s="3454"/>
      <c r="F85" s="3454"/>
      <c r="G85" s="3454"/>
      <c r="H85" s="3454"/>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92" t="s">
        <v>1817</v>
      </c>
      <c r="B86" s="3393"/>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428" t="s">
        <v>2734</v>
      </c>
      <c r="H92" s="3455"/>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68" t="s">
        <v>1864</v>
      </c>
      <c r="F93" s="3369"/>
      <c r="G93" s="3369"/>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68" t="s">
        <v>1867</v>
      </c>
      <c r="F94" s="3369"/>
      <c r="G94" s="3369"/>
      <c r="H94" s="3370"/>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5.000000000000001E-3</v>
      </c>
      <c r="E95" s="3368" t="s">
        <v>1852</v>
      </c>
      <c r="F95" s="3369"/>
      <c r="G95" s="3369"/>
      <c r="H95" s="3370"/>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68" t="s">
        <v>1869</v>
      </c>
      <c r="F96" s="3369"/>
      <c r="G96" s="3369"/>
      <c r="H96" s="3370"/>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414" t="s">
        <v>1871</v>
      </c>
      <c r="B101" s="3415"/>
      <c r="C101" s="3415"/>
      <c r="D101" s="3416"/>
      <c r="E101" s="1460"/>
      <c r="F101" s="3450" t="s">
        <v>2776</v>
      </c>
      <c r="G101" s="3451"/>
      <c r="H101" s="3451"/>
      <c r="I101" s="3452"/>
      <c r="J101" s="2876"/>
    </row>
    <row r="102" spans="1:36" ht="15">
      <c r="A102" s="3426" t="s">
        <v>1873</v>
      </c>
      <c r="B102" s="3427"/>
      <c r="C102" s="2799">
        <f>C4</f>
        <v>0</v>
      </c>
      <c r="D102" s="2800">
        <f>D4</f>
        <v>0</v>
      </c>
      <c r="E102" s="1460"/>
      <c r="F102" s="3339" t="s">
        <v>2777</v>
      </c>
      <c r="G102" s="3340"/>
      <c r="H102" s="3345" t="s">
        <v>2778</v>
      </c>
      <c r="I102" s="3338"/>
      <c r="J102" s="2856"/>
    </row>
    <row r="103" spans="1:36" ht="12.75">
      <c r="A103" s="3447" t="s">
        <v>2772</v>
      </c>
      <c r="B103" s="2305" t="str">
        <f>IF(H19="元","总价（元）","总价（万元）")</f>
        <v>总价（元）</v>
      </c>
      <c r="C103" s="1307" t="e">
        <f ca="1">C19</f>
        <v>#REF!</v>
      </c>
      <c r="D103" s="2803" t="e">
        <f ca="1">D19</f>
        <v>#REF!</v>
      </c>
      <c r="E103" s="1460"/>
      <c r="F103" s="3448"/>
      <c r="G103" s="3449"/>
      <c r="H103" s="3337">
        <f>典型户型修正!B25</f>
        <v>0</v>
      </c>
      <c r="I103" s="3338"/>
      <c r="J103" s="2856"/>
    </row>
    <row r="104" spans="1:36" ht="12.75">
      <c r="A104" s="3447"/>
      <c r="B104" s="2305" t="s">
        <v>2773</v>
      </c>
      <c r="C104" s="2804" t="e">
        <f ca="1">C20</f>
        <v>#REF!</v>
      </c>
      <c r="D104" s="2805" t="e">
        <f ca="1">D20</f>
        <v>#REF!</v>
      </c>
      <c r="E104" s="1460"/>
      <c r="F104" s="3349" t="s">
        <v>2779</v>
      </c>
      <c r="G104" s="3350"/>
      <c r="H104" s="2813" t="str">
        <f>C110</f>
        <v>总价（元）</v>
      </c>
      <c r="I104" s="2814">
        <f>H125</f>
        <v>0</v>
      </c>
      <c r="J104" s="2856"/>
    </row>
    <row r="105" spans="1:36" ht="12.75">
      <c r="A105" s="3447" t="s">
        <v>2774</v>
      </c>
      <c r="B105" s="2243" t="str">
        <f>B103</f>
        <v>总价（元）</v>
      </c>
      <c r="C105" s="12" t="e">
        <f ca="1">ROUND(IF('数据-取费表'!B4="总价",G19,IF(H19="元",G20*'数据-取费表'!E5,G20*'数据-取费表'!E5/10000)),0)</f>
        <v>#REF!</v>
      </c>
      <c r="D105" s="2806"/>
      <c r="E105" s="1460"/>
      <c r="F105" s="3349"/>
      <c r="G105" s="3350"/>
      <c r="H105" s="2813" t="s">
        <v>2780</v>
      </c>
      <c r="I105" s="52" t="e">
        <f>I125</f>
        <v>#DIV/0!</v>
      </c>
      <c r="J105" s="2840"/>
    </row>
    <row r="106" spans="1:36" ht="12.75">
      <c r="A106" s="3447"/>
      <c r="B106" s="2305" t="s">
        <v>2773</v>
      </c>
      <c r="C106" s="1480" t="e">
        <f ca="1">ROUND(IF('数据-取费表'!B4="楼面单价",G20,IF(H19="元",G19/'数据-取费表'!E5,G19*10000/'数据-取费表'!E5)),0)</f>
        <v>#REF!</v>
      </c>
      <c r="D106" s="2806"/>
      <c r="E106" s="1460"/>
      <c r="F106" s="3349"/>
      <c r="G106" s="3350"/>
      <c r="H106" s="3408"/>
      <c r="I106" s="3409"/>
      <c r="J106" s="2857"/>
    </row>
    <row r="107" spans="1:36" ht="12.75">
      <c r="A107" s="3441" t="s">
        <v>2775</v>
      </c>
      <c r="B107" s="2807" t="str">
        <f>B103</f>
        <v>总价（元）</v>
      </c>
      <c r="C107" s="2808">
        <f>H125</f>
        <v>0</v>
      </c>
      <c r="D107" s="2809"/>
      <c r="E107" s="1460"/>
      <c r="F107" s="3412" t="s">
        <v>2781</v>
      </c>
      <c r="G107" s="3413"/>
      <c r="H107" s="2815" t="str">
        <f>C112</f>
        <v>总额（元）</v>
      </c>
      <c r="I107" s="2814">
        <f>SUMIF(I108:I110,"&lt;9E307")</f>
        <v>0</v>
      </c>
      <c r="J107" s="2856"/>
    </row>
    <row r="108" spans="1:36" ht="15" thickBot="1">
      <c r="A108" s="3407"/>
      <c r="B108" s="2810" t="s">
        <v>2773</v>
      </c>
      <c r="C108" s="2811" t="e">
        <f>I125</f>
        <v>#DIV/0!</v>
      </c>
      <c r="D108" s="2812"/>
      <c r="E108" s="1460"/>
      <c r="F108" s="3351" t="s">
        <v>2782</v>
      </c>
      <c r="G108" s="3352"/>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本次评估不存在北京市昌平区回龙观镇龙跃苑东四区8号楼房地产。</v>
      </c>
      <c r="M108" s="1460"/>
      <c r="N108" s="1460"/>
      <c r="O108" s="1460"/>
      <c r="P108" s="1460"/>
      <c r="Q108" s="1460"/>
    </row>
    <row r="109" spans="1:36" ht="15">
      <c r="A109" s="3444" t="s">
        <v>1874</v>
      </c>
      <c r="B109" s="3445"/>
      <c r="C109" s="3445"/>
      <c r="D109" s="3446"/>
      <c r="E109" s="1460"/>
      <c r="F109" s="3351" t="s">
        <v>2783</v>
      </c>
      <c r="G109" s="3352"/>
      <c r="H109" s="2815" t="str">
        <f>C114</f>
        <v>总额（元）</v>
      </c>
      <c r="I109" s="52">
        <f>C39</f>
        <v>0</v>
      </c>
      <c r="J109" s="2840"/>
    </row>
    <row r="110" spans="1:36" ht="12.75">
      <c r="A110" s="3349" t="s">
        <v>2786</v>
      </c>
      <c r="B110" s="3350"/>
      <c r="C110" s="2813" t="str">
        <f>B103</f>
        <v>总价（元）</v>
      </c>
      <c r="D110" s="2814">
        <f>H125</f>
        <v>0</v>
      </c>
      <c r="E110" s="1460"/>
      <c r="F110" s="3351" t="s">
        <v>2784</v>
      </c>
      <c r="G110" s="3352"/>
      <c r="H110" s="2815" t="str">
        <f>C115</f>
        <v>总额（元）</v>
      </c>
      <c r="I110" s="52">
        <f>C40</f>
        <v>0</v>
      </c>
      <c r="J110" s="2840"/>
    </row>
    <row r="111" spans="1:36" ht="12.75">
      <c r="A111" s="3349"/>
      <c r="B111" s="3350"/>
      <c r="C111" s="2813" t="s">
        <v>2787</v>
      </c>
      <c r="D111" s="52" t="e">
        <f>I125</f>
        <v>#DIV/0!</v>
      </c>
      <c r="E111" s="1460"/>
      <c r="F111" s="3349"/>
      <c r="G111" s="3350"/>
      <c r="H111" s="3410"/>
      <c r="I111" s="3411"/>
      <c r="J111" s="2858"/>
    </row>
    <row r="112" spans="1:36" ht="28.5" customHeight="1">
      <c r="A112" s="3356" t="s">
        <v>2781</v>
      </c>
      <c r="B112" s="3357"/>
      <c r="C112" s="2815" t="str">
        <f>IF(H19="元","总额（元）","总额（万元）")</f>
        <v>总额（元）</v>
      </c>
      <c r="D112" s="2814">
        <f>IF(D38="正常操作",I108+I109+I110,I109+I110)</f>
        <v>0</v>
      </c>
      <c r="E112" s="1460"/>
      <c r="F112" s="3341" t="str">
        <f>IF(项目基本情况!F5="已注销","——","3.房地产抵押价值")</f>
        <v>3.房地产抵押价值</v>
      </c>
      <c r="G112" s="3342"/>
      <c r="H112" s="1480" t="str">
        <f>C116</f>
        <v>总价（元）</v>
      </c>
      <c r="I112" s="2814">
        <f>IF(F112="——","——",I104-I107)</f>
        <v>0</v>
      </c>
      <c r="J112" s="2856"/>
    </row>
    <row r="113" spans="1:27" ht="12.75">
      <c r="A113" s="3351" t="s">
        <v>2788</v>
      </c>
      <c r="B113" s="3352"/>
      <c r="C113" s="2815" t="str">
        <f>C112</f>
        <v>总额（元）</v>
      </c>
      <c r="D113" s="52">
        <f>IF(D38="同一抵押权人同一抵押物续贷",C38&amp;"（未扣减，详见特别提示）",C38)</f>
        <v>0</v>
      </c>
      <c r="E113" s="1460"/>
      <c r="F113" s="3439"/>
      <c r="G113" s="3440"/>
      <c r="H113" s="2813" t="s">
        <v>2780</v>
      </c>
      <c r="I113" s="2817" t="e">
        <f>D117</f>
        <v>#DIV/0!</v>
      </c>
      <c r="J113" s="2859"/>
    </row>
    <row r="114" spans="1:27" ht="12.75">
      <c r="A114" s="3351" t="s">
        <v>2789</v>
      </c>
      <c r="B114" s="3352"/>
      <c r="C114" s="2815" t="str">
        <f>C112</f>
        <v>总额（元）</v>
      </c>
      <c r="D114" s="52">
        <f>C39</f>
        <v>0</v>
      </c>
      <c r="E114" s="1460"/>
      <c r="F114" s="3341" t="str">
        <f>IF(项目基本情况!F5="已注销及未注销","4.抵押担保权已注销时的房地产抵押价值",IF(项目基本情况!F5="已注销","3.抵押担保权已注销时的房地产抵押价值","——"))</f>
        <v>——</v>
      </c>
      <c r="G114" s="3342"/>
      <c r="H114" s="1480" t="str">
        <f>C118</f>
        <v>总价（元）</v>
      </c>
      <c r="I114" s="2814" t="str">
        <f>IF(F114="——","——",I104-I109-I110)</f>
        <v>——</v>
      </c>
      <c r="J114" s="2856"/>
    </row>
    <row r="115" spans="1:27" ht="12.75">
      <c r="A115" s="3351" t="s">
        <v>2790</v>
      </c>
      <c r="B115" s="3352"/>
      <c r="C115" s="2815" t="str">
        <f>C112</f>
        <v>总额（元）</v>
      </c>
      <c r="D115" s="52">
        <f>C40</f>
        <v>0</v>
      </c>
      <c r="E115" s="1460"/>
      <c r="F115" s="3439"/>
      <c r="G115" s="3440"/>
      <c r="H115" s="2813" t="s">
        <v>2780</v>
      </c>
      <c r="I115" s="52" t="str">
        <f>D119</f>
        <v>——</v>
      </c>
      <c r="J115" s="2840"/>
    </row>
    <row r="116" spans="1:27" ht="12.75">
      <c r="A116" s="3349" t="str">
        <f>IF(项目基本情况!F5="已注销","——","3.房地产抵押价值")</f>
        <v>3.房地产抵押价值</v>
      </c>
      <c r="B116" s="3350"/>
      <c r="C116" s="2813" t="str">
        <f>B103</f>
        <v>总价（元）</v>
      </c>
      <c r="D116" s="2814">
        <f>IF(A116="——","——",D110-D112)</f>
        <v>0</v>
      </c>
      <c r="E116" s="1460"/>
      <c r="F116" s="3341" t="str">
        <f>IF(项目基本情况!G5="抵押净值",IF(OR(项目基本情况!F5="已注销",项目基本情况!F5="房地产抵押价值"),"4.抵押净值","5.抵押净值"),"——")</f>
        <v>——</v>
      </c>
      <c r="G116" s="3342"/>
      <c r="H116" s="2813" t="str">
        <f>C120</f>
        <v>总价（元）</v>
      </c>
      <c r="I116" s="2814" t="str">
        <f>IF(F116="——","——",O61)</f>
        <v>——</v>
      </c>
      <c r="J116" s="2856"/>
    </row>
    <row r="117" spans="1:27" ht="13.5" thickBot="1">
      <c r="A117" s="3349"/>
      <c r="B117" s="3350"/>
      <c r="C117" s="2813" t="s">
        <v>2787</v>
      </c>
      <c r="D117" s="52" t="e">
        <f>ROUND(IF(D116=D110,D111,IF(H19="元",D116/B125,D116*10000/B125)),0)</f>
        <v>#DIV/0!</v>
      </c>
      <c r="E117" s="1460"/>
      <c r="F117" s="3343"/>
      <c r="G117" s="3344"/>
      <c r="H117" s="2818" t="s">
        <v>2780</v>
      </c>
      <c r="I117" s="2802" t="str">
        <f>D121</f>
        <v>——</v>
      </c>
      <c r="J117" s="2840"/>
    </row>
    <row r="118" spans="1:27" ht="15.75">
      <c r="A118" s="3349" t="str">
        <f>IF(项目基本情况!F5="已注销及未注销","4.抵押担保权已注销时的房地产抵押价值",IF(项目基本情况!F5="已注销","3.抵押担保权已注销时的房地产抵押价值","——"))</f>
        <v>——</v>
      </c>
      <c r="B118" s="3350"/>
      <c r="C118" s="2813" t="str">
        <f>B103</f>
        <v>总价（元）</v>
      </c>
      <c r="D118" s="2814" t="str">
        <f>IF(A118="——","——",D110-D114-D115)</f>
        <v>——</v>
      </c>
      <c r="E118" s="1460"/>
      <c r="F118" s="3434"/>
      <c r="G118" s="3434"/>
      <c r="H118" s="3398"/>
      <c r="I118" s="3398"/>
      <c r="J118" s="2860"/>
      <c r="O118" s="32"/>
      <c r="P118" s="32"/>
    </row>
    <row r="119" spans="1:27" s="1308" customFormat="1" ht="12.75">
      <c r="A119" s="3349"/>
      <c r="B119" s="3350"/>
      <c r="C119" s="2813" t="s">
        <v>2787</v>
      </c>
      <c r="D119" s="52" t="str">
        <f>IF(A118="——","——",IF(H19="元",ROUND(D118/B125,0),ROUND(D118*10000/B125,0)))</f>
        <v>——</v>
      </c>
      <c r="E119" s="1460"/>
      <c r="F119" s="3443" t="str">
        <f>IF(B33="总价","（以上估价结果中楼面单价为总价除以建筑面积得出）","（以上估价结果中总价为楼面单价乘以建筑面积得出）")</f>
        <v>（以上估价结果中总价为楼面单价乘以建筑面积得出）</v>
      </c>
      <c r="G119" s="3443"/>
      <c r="H119" s="3443"/>
      <c r="I119" s="3443"/>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49" t="str">
        <f>IF(项目基本情况!G5="抵押净值",IF(OR(项目基本情况!F5="已注销",项目基本情况!F5="房地产抵押价值"),"4.抵押净值","5.抵押净值"),"——")</f>
        <v>——</v>
      </c>
      <c r="B120" s="3350"/>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4"/>
      <c r="B121" s="3355"/>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99" t="s">
        <v>1913</v>
      </c>
      <c r="B122" s="3400"/>
      <c r="C122" s="3400"/>
      <c r="D122" s="3400"/>
      <c r="E122" s="3400"/>
      <c r="F122" s="3400"/>
      <c r="G122" s="3400"/>
      <c r="H122" s="3400"/>
      <c r="I122" s="3400"/>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34" t="s">
        <v>2791</v>
      </c>
      <c r="B123" s="3360" t="s">
        <v>2792</v>
      </c>
      <c r="C123" s="3360" t="s">
        <v>2798</v>
      </c>
      <c r="D123" s="3421" t="s">
        <v>2793</v>
      </c>
      <c r="E123" s="3422"/>
      <c r="F123" s="3335" t="s">
        <v>2799</v>
      </c>
      <c r="G123" s="3335"/>
      <c r="H123" s="3335" t="s">
        <v>2794</v>
      </c>
      <c r="I123" s="3420"/>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34"/>
      <c r="B124" s="3361"/>
      <c r="C124" s="3361"/>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51">
      <c r="A125" s="2078" t="str">
        <f>项目基本情况!I1</f>
        <v>北京市昌平区回龙观镇龙跃苑东四区8号楼房地产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34" t="s">
        <v>2797</v>
      </c>
      <c r="B126" s="3335"/>
      <c r="C126" s="3335"/>
      <c r="D126" s="3362" t="str">
        <f>IF(H19="元",NUMBERSTRING(INT(D125),2)&amp;"元整",NUMBERSTRING(INT(D125*10000),2)&amp;"元整")</f>
        <v>零元整</v>
      </c>
      <c r="E126" s="3404"/>
      <c r="F126" s="3362" t="str">
        <f>IF(H19="元",NUMBERSTRING(INT(F125),2)&amp;"元整",NUMBERSTRING(INT(F125*10000),2)&amp;"元整")</f>
        <v>零元整</v>
      </c>
      <c r="G126" s="3404"/>
      <c r="H126" s="3362" t="str">
        <f>IF(H19="元",NUMBERSTRING(INT(H125),2)&amp;"元整",NUMBERSTRING(INT(H125*10000),2)&amp;"元整")</f>
        <v>零元整</v>
      </c>
      <c r="I126" s="3363"/>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39" t="str">
        <f>IF(项目基本情况!D5="房地产市场价值","——",MID(A112,3,LEN(A112)-2))</f>
        <v>——</v>
      </c>
      <c r="B127" s="3345"/>
      <c r="C127" s="3340"/>
      <c r="D127" s="3337">
        <f>I107</f>
        <v>0</v>
      </c>
      <c r="E127" s="3345"/>
      <c r="F127" s="3345"/>
      <c r="G127" s="3345"/>
      <c r="H127" s="3345"/>
      <c r="I127" s="3338"/>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05" t="s">
        <v>2797</v>
      </c>
      <c r="B128" s="3374"/>
      <c r="C128" s="3375"/>
      <c r="D128" s="3346">
        <f>H111</f>
        <v>0</v>
      </c>
      <c r="E128" s="3347"/>
      <c r="F128" s="3347"/>
      <c r="G128" s="3347"/>
      <c r="H128" s="3347"/>
      <c r="I128" s="3348"/>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49" t="str">
        <f>IF(项目基本情况!D5="房地产市场价值","——",MID(A116,3,LEN(A116)-2))</f>
        <v>——</v>
      </c>
      <c r="B129" s="3350"/>
      <c r="C129" s="3350"/>
      <c r="D129" s="3337">
        <f>I112</f>
        <v>0</v>
      </c>
      <c r="E129" s="3345"/>
      <c r="F129" s="3345"/>
      <c r="G129" s="3345"/>
      <c r="H129" s="3345"/>
      <c r="I129" s="3338"/>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34" t="s">
        <v>2797</v>
      </c>
      <c r="B130" s="3335"/>
      <c r="C130" s="3335"/>
      <c r="D130" s="3346" t="e">
        <f>I113</f>
        <v>#DIV/0!</v>
      </c>
      <c r="E130" s="3347"/>
      <c r="F130" s="3347"/>
      <c r="G130" s="3347"/>
      <c r="H130" s="3347"/>
      <c r="I130" s="3348"/>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49" t="str">
        <f>IF(项目基本情况!D5="房地产市场价值","——",MID(A118,3,LEN(A118)-2))</f>
        <v>——</v>
      </c>
      <c r="B131" s="3350"/>
      <c r="C131" s="3350"/>
      <c r="D131" s="3382" t="str">
        <f>I114</f>
        <v>——</v>
      </c>
      <c r="E131" s="3383"/>
      <c r="F131" s="3383"/>
      <c r="G131" s="3383"/>
      <c r="H131" s="3383"/>
      <c r="I131" s="3433"/>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34" t="s">
        <v>2797</v>
      </c>
      <c r="B132" s="3335"/>
      <c r="C132" s="3336"/>
      <c r="D132" s="3397" t="str">
        <f>I115</f>
        <v>——</v>
      </c>
      <c r="E132" s="3397"/>
      <c r="F132" s="3397"/>
      <c r="G132" s="3397"/>
      <c r="H132" s="3397"/>
      <c r="I132" s="3397"/>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49" t="str">
        <f>IF(项目基本情况!D5="房地产市场价值","——",MID(F116,3,LEN(F116)-2))</f>
        <v>——</v>
      </c>
      <c r="B133" s="3350"/>
      <c r="C133" s="3337"/>
      <c r="D133" s="3353" t="str">
        <f>I116</f>
        <v>——</v>
      </c>
      <c r="E133" s="3353"/>
      <c r="F133" s="3353"/>
      <c r="G133" s="3353"/>
      <c r="H133" s="3353"/>
      <c r="I133" s="3353"/>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8" t="s">
        <v>2797</v>
      </c>
      <c r="B134" s="3359"/>
      <c r="C134" s="3359"/>
      <c r="D134" s="3364">
        <f>H118</f>
        <v>0</v>
      </c>
      <c r="E134" s="3365"/>
      <c r="F134" s="3365"/>
      <c r="G134" s="3365"/>
      <c r="H134" s="3365"/>
      <c r="I134" s="3366"/>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32" t="str">
        <f>IF(B33="总价","（以上估价结果中楼面单价为总价除以建筑面积得出）","（以上估价结果中总价为楼面单价乘以建筑面积得出）")</f>
        <v>（以上估价结果中总价为楼面单价乘以建筑面积得出）</v>
      </c>
      <c r="B136" s="3332"/>
      <c r="C136" s="3332"/>
      <c r="D136" s="3332"/>
      <c r="E136" s="3332"/>
      <c r="F136" s="3332"/>
      <c r="G136" s="3332"/>
      <c r="H136" s="3332"/>
      <c r="I136" s="3332"/>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I25" sqref="I2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1351234</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10672</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C6+C7+C8</f>
        <v>774610</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v>751684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ROUND(C6*F7,0)</f>
        <v>22926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t="str">
        <f>IF(G8="已包含在土地购买价格中","0",'数据-取费表'!E13)</f>
        <v>0</v>
      </c>
      <c r="D8" s="1170"/>
      <c r="E8" s="115"/>
      <c r="F8" s="1169"/>
      <c r="G8" s="1517" t="s">
        <v>3132</v>
      </c>
    </row>
    <row r="9" spans="1:123" s="91" customFormat="1" ht="13.5" customHeight="1">
      <c r="A9" s="993" t="s">
        <v>945</v>
      </c>
      <c r="B9" s="97" t="s">
        <v>1930</v>
      </c>
      <c r="C9" s="1171">
        <f>ROUND(D9*E9,0)</f>
        <v>18992</v>
      </c>
      <c r="D9" s="1172">
        <f>IF('数据-取费表'!B10="住宅",IF(B1="仅计算典型户型",'数据-取费表'!E5,'数据-取费表'!B5),0)</f>
        <v>126.61</v>
      </c>
      <c r="E9" s="1171">
        <f>'数据-取费表'!E11</f>
        <v>150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126.61</v>
      </c>
      <c r="E19" s="111">
        <f>'数据-取费表'!E15</f>
        <v>150</v>
      </c>
      <c r="F19" s="112"/>
      <c r="G19" s="1517" t="s">
        <v>2895</v>
      </c>
    </row>
    <row r="20" spans="1:123" s="91" customFormat="1" ht="13.5" customHeight="1">
      <c r="A20" s="120" t="s">
        <v>1943</v>
      </c>
      <c r="B20" s="89" t="s">
        <v>1944</v>
      </c>
      <c r="C20" s="99">
        <f>ROUND((C5+C19)*F20,0)</f>
        <v>11619</v>
      </c>
      <c r="D20" s="99"/>
      <c r="E20" s="99"/>
      <c r="F20" s="103">
        <f>'数据-取费表'!E25</f>
        <v>1.4999999999999999E-2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0.01</v>
      </c>
      <c r="D21" s="102" t="s">
        <v>1948</v>
      </c>
      <c r="E21" s="99"/>
      <c r="F21" s="103">
        <f>'数据-取费表'!E26</f>
        <v>0.01</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98922</v>
      </c>
      <c r="D22" s="101">
        <f ca="1">C26</f>
        <v>5.9999999999999995E-4</v>
      </c>
      <c r="E22" s="102" t="s">
        <v>1948</v>
      </c>
      <c r="F22" s="103">
        <f ca="1">'数据-取费表'!E27</f>
        <v>6.1500000000000006E-2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98207</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715</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C28</f>
        <v>39311</v>
      </c>
      <c r="D27" s="101">
        <f>C29</f>
        <v>5.0000000000000001E-4</v>
      </c>
      <c r="E27" s="102" t="s">
        <v>1948</v>
      </c>
      <c r="F27" s="112">
        <f>'数据-取费表'!E28</f>
        <v>0.05</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ROUND((C5+C19+C20)*F27*'数据-取费表'!B23/'数据-取费表'!B22,0)</f>
        <v>39311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5.0000000000000001E-4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5.5E-2</v>
      </c>
      <c r="D30" s="102" t="s">
        <v>1948</v>
      </c>
      <c r="E30" s="107"/>
      <c r="F30" s="103">
        <f>'数据-取费表'!E29</f>
        <v>5.5000000000000007E-2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989894</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356092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316525</v>
      </c>
      <c r="D34" s="1167"/>
      <c r="E34" s="115"/>
      <c r="F34" s="1178" t="str">
        <f>IF('数据-取费表'!B26=0,"",'数据-取费表'!E20)</f>
        <v/>
      </c>
      <c r="G34" s="95"/>
    </row>
    <row r="35" spans="1:123" ht="13.5" customHeight="1">
      <c r="A35" s="92" t="s">
        <v>1926</v>
      </c>
      <c r="B35" s="93" t="s">
        <v>1975</v>
      </c>
      <c r="C35" s="115">
        <f>ROUND(C34*F35,0)</f>
        <v>9496</v>
      </c>
      <c r="D35" s="115"/>
      <c r="E35" s="115"/>
      <c r="F35" s="1179">
        <f>'数据-取费表'!E21</f>
        <v>0.03</v>
      </c>
      <c r="G35" s="95" t="s">
        <v>1976</v>
      </c>
    </row>
    <row r="36" spans="1:123" ht="24">
      <c r="A36" s="92" t="s">
        <v>1928</v>
      </c>
      <c r="B36" s="93" t="s">
        <v>1977</v>
      </c>
      <c r="C36" s="115">
        <f>ROUND(IF('数据-取费表'!B10="住宅",C34*F36,0),0)</f>
        <v>6331</v>
      </c>
      <c r="D36" s="115"/>
      <c r="E36" s="115"/>
      <c r="F36" s="1179">
        <f>'数据-取费表'!E22</f>
        <v>0.02</v>
      </c>
      <c r="G36" s="123" t="s">
        <v>1978</v>
      </c>
    </row>
    <row r="37" spans="1:123" s="122" customFormat="1" ht="13.5" customHeight="1">
      <c r="A37" s="92" t="s">
        <v>1959</v>
      </c>
      <c r="B37" s="93" t="s">
        <v>1979</v>
      </c>
      <c r="C37" s="115">
        <f>ROUND(E37*D37,0)</f>
        <v>18992</v>
      </c>
      <c r="D37" s="1167">
        <f>IF(B1="仅计算典型户型",'数据-取费表'!E5,'数据-取费表'!B5)</f>
        <v>126.61</v>
      </c>
      <c r="E37" s="115">
        <f>'数据-取费表'!E23</f>
        <v>150</v>
      </c>
      <c r="F37" s="1179"/>
      <c r="G37" s="124" t="s">
        <v>1980</v>
      </c>
    </row>
    <row r="38" spans="1:123" ht="13.5" customHeight="1">
      <c r="A38" s="92" t="s">
        <v>1981</v>
      </c>
      <c r="B38" s="93" t="s">
        <v>1982</v>
      </c>
      <c r="C38" s="115">
        <f>ROUND(C34*F38,0)</f>
        <v>4748</v>
      </c>
      <c r="D38" s="115"/>
      <c r="E38" s="115"/>
      <c r="F38" s="1179">
        <f>'数据-取费表'!E24</f>
        <v>1.4999999999999999E-2</v>
      </c>
      <c r="G38" s="95" t="s">
        <v>1976</v>
      </c>
    </row>
    <row r="39" spans="1:123" s="91" customFormat="1" ht="13.5" customHeight="1">
      <c r="A39" s="120" t="s">
        <v>1941</v>
      </c>
      <c r="B39" s="89" t="s">
        <v>1944</v>
      </c>
      <c r="C39" s="99">
        <f>ROUND(C33*F20,0)</f>
        <v>5341</v>
      </c>
      <c r="D39" s="99"/>
      <c r="E39" s="99"/>
      <c r="F39" s="2882">
        <f>F20</f>
        <v>1.4999999999999999E-2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0.01</v>
      </c>
      <c r="D40" s="102" t="s">
        <v>1984</v>
      </c>
      <c r="E40" s="99"/>
      <c r="F40" s="2882">
        <f>F21</f>
        <v>0.01</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22228</v>
      </c>
      <c r="D41" s="101">
        <f ca="1">C44</f>
        <v>5.9999999999999995E-4</v>
      </c>
      <c r="E41" s="102" t="s">
        <v>1984</v>
      </c>
      <c r="F41" s="2882">
        <f ca="1">F22</f>
        <v>6.1500000000000006E-2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21900</v>
      </c>
      <c r="D42" s="104"/>
      <c r="E42" s="104"/>
      <c r="F42" s="105"/>
      <c r="G42" s="3471" t="s">
        <v>1986</v>
      </c>
    </row>
    <row r="43" spans="1:123" ht="13.5" customHeight="1">
      <c r="A43" s="92" t="s">
        <v>1926</v>
      </c>
      <c r="B43" s="93" t="s">
        <v>1955</v>
      </c>
      <c r="C43" s="104">
        <f ca="1">ROUND(IF('数据-取费表'!B24&lt;=1,C39*F22*'数据-取费表'!B23/2,C39*(POWER((1+F22),'数据-取费表'!B23/2)-1)),0)</f>
        <v>328</v>
      </c>
      <c r="D43" s="104"/>
      <c r="E43" s="104"/>
      <c r="F43" s="105"/>
      <c r="G43" s="3472"/>
    </row>
    <row r="44" spans="1:123" ht="13.5" customHeight="1">
      <c r="A44" s="92" t="s">
        <v>1928</v>
      </c>
      <c r="B44" s="93" t="s">
        <v>1957</v>
      </c>
      <c r="C44" s="104">
        <f ca="1">ROUND(IF('数据-取费表'!B24&lt;=1,C40*F22*'数据-取费表'!B23/2,C40*(POWER((1+F22),'数据-取费表'!B23/2)-1)),4)</f>
        <v>5.9999999999999995E-4</v>
      </c>
      <c r="D44" s="104"/>
      <c r="E44" s="104"/>
      <c r="F44" s="105"/>
      <c r="G44" s="3473"/>
    </row>
    <row r="45" spans="1:123" s="91" customFormat="1" ht="13.5" customHeight="1">
      <c r="A45" s="120" t="s">
        <v>1950</v>
      </c>
      <c r="B45" s="110" t="s">
        <v>1962</v>
      </c>
      <c r="C45" s="111">
        <f>C46</f>
        <v>18072</v>
      </c>
      <c r="D45" s="101">
        <f>C47</f>
        <v>5.0000000000000001E-4</v>
      </c>
      <c r="E45" s="102" t="s">
        <v>1984</v>
      </c>
      <c r="F45" s="2883">
        <f>F27</f>
        <v>0.05</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18072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5.0000000000000001E-4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5.5E-2</v>
      </c>
      <c r="D48" s="102" t="s">
        <v>1984</v>
      </c>
      <c r="E48" s="99"/>
      <c r="F48" s="2882">
        <f>F30</f>
        <v>5.5000000000000007E-2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430167</v>
      </c>
      <c r="D49" s="99"/>
      <c r="E49" s="99"/>
      <c r="F49" s="126"/>
      <c r="G49" s="100" t="s">
        <v>1994</v>
      </c>
    </row>
    <row r="50" spans="1:123" s="122" customFormat="1" ht="24">
      <c r="A50" s="994" t="s">
        <v>1995</v>
      </c>
      <c r="B50" s="89" t="s">
        <v>1996</v>
      </c>
      <c r="C50" s="99"/>
      <c r="D50" s="99"/>
      <c r="E50" s="99"/>
      <c r="F50" s="126">
        <f>IF('数据-取费表'!B26=0,'数据-取费表'!E20,1)</f>
        <v>0.84</v>
      </c>
      <c r="G50" s="113" t="s">
        <v>1997</v>
      </c>
    </row>
    <row r="51" spans="1:123" ht="16.5" customHeight="1">
      <c r="A51" s="994" t="s">
        <v>1998</v>
      </c>
      <c r="B51" s="89" t="s">
        <v>1999</v>
      </c>
      <c r="C51" s="99">
        <f ca="1">ROUND(C49*F50,0)</f>
        <v>361340</v>
      </c>
      <c r="D51" s="99"/>
      <c r="E51" s="99"/>
      <c r="F51" s="126"/>
      <c r="G51" s="100" t="s">
        <v>2000</v>
      </c>
    </row>
    <row r="52" spans="1:123" s="88" customFormat="1" ht="16.5" thickBot="1">
      <c r="A52" s="127" t="s">
        <v>2001</v>
      </c>
      <c r="B52" s="128"/>
      <c r="C52" s="129">
        <f ca="1">C31+C51</f>
        <v>1351234</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0.26700000000000002</v>
      </c>
    </row>
    <row r="57" spans="1:123">
      <c r="B57" s="135" t="s">
        <v>2004</v>
      </c>
      <c r="C57" s="137">
        <f ca="1">1-C56</f>
        <v>0.73299999999999998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 zoomScaleNormal="90" zoomScaleSheetLayoutView="100" workbookViewId="0">
      <selection activeCell="G19" sqref="G1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126.61</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0</v>
      </c>
      <c r="C2" s="2104" t="s">
        <v>2506</v>
      </c>
      <c r="D2" s="1601" t="s">
        <v>2507</v>
      </c>
      <c r="E2" s="2105" t="s">
        <v>2891</v>
      </c>
      <c r="F2" s="1601" t="s">
        <v>2508</v>
      </c>
      <c r="G2" s="2106" t="str">
        <f>项目基本情况!F9</f>
        <v>六级</v>
      </c>
      <c r="H2" s="1602" t="s">
        <v>2509</v>
      </c>
      <c r="I2" s="2106" t="str">
        <f>项目基本情况!F10</f>
        <v>Ⅵ-昌2</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0</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0</v>
      </c>
      <c r="C3" s="2104" t="s">
        <v>2512</v>
      </c>
      <c r="D3" s="1601" t="s">
        <v>2513</v>
      </c>
      <c r="E3" s="2105" t="s">
        <v>2930</v>
      </c>
      <c r="F3" s="1603" t="s">
        <v>2514</v>
      </c>
      <c r="G3" s="2112">
        <f>项目基本情况!C15</f>
        <v>1.8</v>
      </c>
      <c r="H3" s="50" t="s">
        <v>2515</v>
      </c>
      <c r="I3" s="2113">
        <v>1</v>
      </c>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0</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76"/>
      <c r="B4" s="3477"/>
      <c r="C4" s="3477"/>
      <c r="D4" s="3478"/>
      <c r="E4" s="3478"/>
      <c r="F4" s="3478"/>
      <c r="G4" s="3478"/>
      <c r="H4" s="3478"/>
      <c r="I4" s="3478"/>
      <c r="J4" s="3479"/>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0</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10060</v>
      </c>
      <c r="D5" s="2115">
        <f>ROUND(C6+C16,0)</f>
        <v>10060</v>
      </c>
      <c r="E5" s="2115"/>
      <c r="F5" s="2116"/>
      <c r="G5" s="2117"/>
      <c r="H5" s="2117"/>
      <c r="I5" s="2117"/>
      <c r="J5" s="2074"/>
      <c r="K5" s="1666"/>
      <c r="L5" s="2108" t="s">
        <v>2521</v>
      </c>
      <c r="M5" s="2109">
        <f>SUMPRODUCT((区片价!B76:B109=I2)*(区片价!C3:F3=E2)*(区片价!C76:F109))</f>
        <v>0</v>
      </c>
      <c r="N5" s="2110">
        <f>SUMPRODUCT((因素修正幅度!B76:B109=I2)*(因素修正幅度!C3:F3=E2)*(因素修正幅度!C76:F109))</f>
        <v>0</v>
      </c>
      <c r="O5" s="3044"/>
      <c r="P5" s="3044"/>
      <c r="Q5" s="3044"/>
      <c r="R5" s="2100">
        <v>4</v>
      </c>
      <c r="S5" s="2100">
        <f>ROUND(IF(G3&gt;1,IF(R5&lt;7,SUMPRODUCT((B93:B98=R5)*(C92:N92=G2)*(C93:N98)),SUMIF(C92:N92,G2,C100:N100)),IF(R5&lt;7,SUMPRODUCT((B102:B107=R5)*(C92:N92=G2)*(C102:N107)),SUMIF(C92:N92,G2,C109:N109))),4)</f>
        <v>0.86560000000000004</v>
      </c>
      <c r="T5" s="2100">
        <f t="shared" ca="1" si="0"/>
        <v>0</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10060</v>
      </c>
      <c r="D6" s="2124" t="s">
        <v>2523</v>
      </c>
      <c r="E6" s="1605"/>
      <c r="F6" s="1605"/>
      <c r="G6" s="2125"/>
      <c r="H6" s="2125"/>
      <c r="I6" s="2125"/>
      <c r="J6" s="2126"/>
      <c r="K6" s="3045"/>
      <c r="L6" s="2108" t="s">
        <v>2524</v>
      </c>
      <c r="M6" s="2109">
        <f>SUMPRODUCT((区片价!B110:B157=I2)*(区片价!C3:F3=E2)*(区片价!C110:F157))</f>
        <v>10060</v>
      </c>
      <c r="N6" s="2110">
        <f>SUMPRODUCT((因素修正幅度!B110:B157=I2)*(因素修正幅度!C3:F3=E2)*(因素修正幅度!C110:F157))</f>
        <v>0.11700000000000001</v>
      </c>
      <c r="O6" s="3044"/>
      <c r="P6" s="3044"/>
      <c r="Q6" s="3044"/>
      <c r="R6" s="2100">
        <v>5</v>
      </c>
      <c r="S6" s="2100">
        <f>ROUND(IF(G3&gt;1,IF(R6&lt;7,SUMPRODUCT((B93:B98=R6)*(C92:N92=G2)*(C93:N98)),SUMIF(C92:N92,G2,C100:N100)),IF(R6&lt;7,SUMPRODUCT((B102:B107=R6)*(C92:N92=G2)*(C102:N107)),SUMIF(C92:N92,G2,C109:N109))),4)</f>
        <v>0.73709999999999998</v>
      </c>
      <c r="T6" s="2100">
        <f t="shared" ca="1" si="0"/>
        <v>0</v>
      </c>
      <c r="U6" s="2111"/>
      <c r="V6" s="2100">
        <f t="shared" ca="1" si="1"/>
        <v>0</v>
      </c>
      <c r="W6" s="2101"/>
      <c r="X6" s="2101"/>
      <c r="Y6" s="2101"/>
      <c r="Z6" s="2101"/>
      <c r="AA6" s="2101"/>
      <c r="AB6" s="2101"/>
      <c r="AC6" s="2118"/>
      <c r="AD6" s="2119"/>
      <c r="AE6" s="2119"/>
      <c r="AF6" s="2119"/>
      <c r="AG6" s="2119"/>
      <c r="AH6" s="2119"/>
      <c r="AI6" s="2119"/>
      <c r="AJ6" s="2120"/>
    </row>
    <row r="7" spans="1:36" ht="24">
      <c r="A7" s="3480"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0</v>
      </c>
      <c r="U7" s="2111"/>
      <c r="V7" s="2100">
        <f t="shared" ca="1" si="1"/>
        <v>0</v>
      </c>
      <c r="W7" s="2132" t="s">
        <v>2528</v>
      </c>
      <c r="X7" s="2133" t="str">
        <f>G2</f>
        <v>六级</v>
      </c>
      <c r="Y7" s="2133" t="s">
        <v>2529</v>
      </c>
      <c r="Z7" s="2134">
        <f>G3</f>
        <v>1.8</v>
      </c>
      <c r="AA7" s="2101"/>
      <c r="AB7" s="2101"/>
      <c r="AC7" s="2101"/>
      <c r="AD7" s="2102"/>
      <c r="AE7" s="2102"/>
      <c r="AF7" s="2102"/>
      <c r="AG7" s="2102"/>
      <c r="AH7" s="2102"/>
      <c r="AI7" s="2102"/>
      <c r="AJ7" s="2103"/>
    </row>
    <row r="8" spans="1:36" ht="15">
      <c r="A8" s="3481"/>
      <c r="B8" s="50" t="s">
        <v>2530</v>
      </c>
      <c r="C8" s="2135" t="s">
        <v>2919</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74" t="s">
        <v>2533</v>
      </c>
      <c r="X8" s="3475"/>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81"/>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75"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81"/>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75"/>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81"/>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75" t="s">
        <v>2557</v>
      </c>
      <c r="X11" s="2149" t="s">
        <v>2558</v>
      </c>
      <c r="Y11" s="2150">
        <f>$G$3</f>
        <v>1.8</v>
      </c>
      <c r="Z11" s="2150">
        <f t="shared" ref="Z11:AJ11" si="3">$G$3</f>
        <v>1.8</v>
      </c>
      <c r="AA11" s="2150">
        <f t="shared" si="3"/>
        <v>1.8</v>
      </c>
      <c r="AB11" s="2150">
        <f t="shared" si="3"/>
        <v>1.8</v>
      </c>
      <c r="AC11" s="2150">
        <f t="shared" si="3"/>
        <v>1.8</v>
      </c>
      <c r="AD11" s="2150">
        <f t="shared" si="3"/>
        <v>1.8</v>
      </c>
      <c r="AE11" s="2150">
        <f t="shared" si="3"/>
        <v>1.8</v>
      </c>
      <c r="AF11" s="2150">
        <f t="shared" si="3"/>
        <v>1.8</v>
      </c>
      <c r="AG11" s="2150">
        <f t="shared" si="3"/>
        <v>1.8</v>
      </c>
      <c r="AH11" s="2150">
        <f t="shared" si="3"/>
        <v>1.8</v>
      </c>
      <c r="AI11" s="2150">
        <f t="shared" si="3"/>
        <v>1.8</v>
      </c>
      <c r="AJ11" s="2150">
        <f t="shared" si="3"/>
        <v>1.8</v>
      </c>
    </row>
    <row r="12" spans="1:36" ht="25.5" thickBot="1">
      <c r="A12" s="3480">
        <f>IF(E2="住宅",2,"")</f>
        <v>2</v>
      </c>
      <c r="B12" s="1608" t="s">
        <v>2559</v>
      </c>
      <c r="C12" s="2127">
        <f>ROUND(C15*D15*E15*F15*G15*H15*I15*J15,4)</f>
        <v>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75"/>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82"/>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75"/>
      <c r="X13" s="2157"/>
      <c r="Y13" s="2145">
        <f>(-0.163*(Y12^2)-0.59*Y12+7617)*(10^(-4))/Y11</f>
        <v>0.42316666666666669</v>
      </c>
      <c r="Z13" s="2145">
        <f t="shared" ref="Z13:AJ13" si="5">(-0.163*(Z12^2)-0.59*Z12+7617)*(10^(-4))/Z11</f>
        <v>0.42316666666666669</v>
      </c>
      <c r="AA13" s="2145">
        <f t="shared" si="5"/>
        <v>0.42316666666666669</v>
      </c>
      <c r="AB13" s="2145">
        <f t="shared" si="5"/>
        <v>0.42316666666666669</v>
      </c>
      <c r="AC13" s="2145">
        <f t="shared" si="5"/>
        <v>0.42316666666666669</v>
      </c>
      <c r="AD13" s="2145">
        <f t="shared" si="5"/>
        <v>0.42316666666666669</v>
      </c>
      <c r="AE13" s="2145">
        <f t="shared" si="5"/>
        <v>0.42316666666666669</v>
      </c>
      <c r="AF13" s="2145">
        <f t="shared" si="5"/>
        <v>0.42316666666666669</v>
      </c>
      <c r="AG13" s="2145">
        <f t="shared" si="5"/>
        <v>0.42316666666666669</v>
      </c>
      <c r="AH13" s="2145">
        <f t="shared" si="5"/>
        <v>0.42316666666666669</v>
      </c>
      <c r="AI13" s="2145">
        <f t="shared" si="5"/>
        <v>0.42316666666666669</v>
      </c>
      <c r="AJ13" s="2145">
        <f t="shared" si="5"/>
        <v>0.42316666666666669</v>
      </c>
    </row>
    <row r="14" spans="1:36" ht="15">
      <c r="A14" s="3482"/>
      <c r="B14" s="1610"/>
      <c r="C14" s="2161" t="s">
        <v>2915</v>
      </c>
      <c r="D14" s="2162" t="s">
        <v>2915</v>
      </c>
      <c r="E14" s="2162" t="s">
        <v>2915</v>
      </c>
      <c r="F14" s="2163" t="s">
        <v>2920</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83"/>
      <c r="B15" s="1611" t="s">
        <v>2570</v>
      </c>
      <c r="C15" s="2168">
        <f>IF(C14="有",1.1,1)</f>
        <v>1</v>
      </c>
      <c r="D15" s="2168">
        <f>IF(D14="有",1.1,1)</f>
        <v>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84">
        <f>IF(E2="办公",2,IF(E2="工业",2,IF(E2="住宅",3,IF(E2="商业",IF(C8="不临58条商业街",2,3)))))</f>
        <v>3</v>
      </c>
      <c r="B16" s="1630" t="s">
        <v>2576</v>
      </c>
      <c r="C16" s="1606">
        <f>ROUND(IF(F17="与级别开发程度一致",0,(G17-E17)/C17),0)</f>
        <v>0</v>
      </c>
      <c r="D16" s="3497" t="s">
        <v>2580</v>
      </c>
      <c r="E16" s="3498"/>
      <c r="F16" s="3497" t="s">
        <v>2577</v>
      </c>
      <c r="G16" s="3498"/>
      <c r="H16" s="2171" t="s">
        <v>2922</v>
      </c>
      <c r="I16" s="2171" t="s">
        <v>2923</v>
      </c>
      <c r="J16" s="2172" t="s">
        <v>2924</v>
      </c>
      <c r="K16" s="2171" t="s">
        <v>2925</v>
      </c>
      <c r="L16" s="2171" t="s">
        <v>2926</v>
      </c>
      <c r="M16" s="2171" t="s">
        <v>2927</v>
      </c>
      <c r="N16" s="2171" t="s">
        <v>2928</v>
      </c>
      <c r="O16" s="2173" t="s">
        <v>2929</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85"/>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2921</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0</v>
      </c>
      <c r="D19" s="2186" t="s">
        <v>2586</v>
      </c>
      <c r="E19" s="2187">
        <v>41640</v>
      </c>
      <c r="F19" s="2186" t="s">
        <v>2587</v>
      </c>
      <c r="G19" s="2188">
        <f>'数据-取费表'!B2</f>
        <v>41443</v>
      </c>
      <c r="H19" s="2189" t="s">
        <v>2723</v>
      </c>
      <c r="I19" s="2190" t="str">
        <f>IF(H19="季度增幅（自定义）",SUMIF(N21:N24,E2,O21:O24),"")</f>
        <v/>
      </c>
      <c r="J19" s="2191"/>
      <c r="K19" s="3046"/>
      <c r="L19" s="2072" t="s">
        <v>2588</v>
      </c>
      <c r="M19" s="2192">
        <f>ROUND(SUMIF(地价!B2:F2,E2,地价!B32:F32),0)</f>
        <v>423</v>
      </c>
      <c r="N19" s="2193" t="s">
        <v>2589</v>
      </c>
      <c r="O19" s="2194" t="e">
        <f>ROUNDDOWN(DATEDIF(E19,G19,"M")/3,0)</f>
        <v>#NUM!</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1</v>
      </c>
      <c r="D20" s="2198" t="s">
        <v>2592</v>
      </c>
      <c r="E20" s="2199">
        <f ca="1">存贷款利率!D4/100</f>
        <v>0.06</v>
      </c>
      <c r="F20" s="2198" t="s">
        <v>2581</v>
      </c>
      <c r="G20" s="2200">
        <f ca="1">SUMIF(M26:P26,E2,M28:P28)</f>
        <v>6.9000000000000006E-2</v>
      </c>
      <c r="H20" s="2198" t="s">
        <v>2593</v>
      </c>
      <c r="I20" s="2201">
        <f>'数据-取费表'!B13</f>
        <v>70</v>
      </c>
      <c r="J20" s="2202">
        <f>IF(E2="住宅",70,IF(E2="商业",40,50))</f>
        <v>70</v>
      </c>
      <c r="K20" s="3046"/>
      <c r="L20" s="2203" t="s">
        <v>2594</v>
      </c>
      <c r="M20" s="2204">
        <f>ROUND(SUMPRODUCT((地价!A4:A32=YEAR(G19)&amp;"-"&amp;ROUNDUP(MONTH(G19)/3,0))*(地价!B2:F2=E2)*(地价!B4:F32)),0)</f>
        <v>0</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1.0888</v>
      </c>
      <c r="D21" s="2210"/>
      <c r="E21" s="2210"/>
      <c r="F21" s="2210"/>
      <c r="G21" s="2210"/>
      <c r="H21" s="2210"/>
      <c r="I21" s="2210"/>
      <c r="J21" s="2073"/>
      <c r="K21" s="3046"/>
      <c r="L21" s="3046"/>
      <c r="M21" s="3046"/>
      <c r="N21" s="2211" t="s">
        <v>2600</v>
      </c>
      <c r="O21" s="2212"/>
      <c r="P21" s="2213">
        <f>SUMPRODUCT((地价!A3:A32=YEAR(G19)&amp;"-"&amp;ROUNDUP(MONTH(G19)/3,0))*(地价!AD2:AH2=N21)*(地价!AD3:AH32))</f>
        <v>0</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1.0888</v>
      </c>
      <c r="E22" s="2112">
        <f>ROUNDDOWN(G3,1)</f>
        <v>1.8</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1.0888</v>
      </c>
      <c r="G22" s="2112">
        <f>ROUNDUP(G3,1)</f>
        <v>1.8</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1.0888</v>
      </c>
      <c r="I22" s="2068" t="s">
        <v>104</v>
      </c>
      <c r="J22" s="2214" t="str">
        <f>IF(G3&gt;10,D113,"——")</f>
        <v>——</v>
      </c>
      <c r="K22" s="3046"/>
      <c r="L22" s="3046"/>
      <c r="M22" s="3046"/>
      <c r="N22" s="2211" t="s">
        <v>2603</v>
      </c>
      <c r="O22" s="2212"/>
      <c r="P22" s="2213">
        <f>SUMPRODUCT((地价!A3:A32=YEAR(G19)&amp;"-"&amp;ROUNDUP(MONTH(G19)/3,0))*(地价!AD2:AH2=N22)*(地价!AD3:AH32))</f>
        <v>0</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1.8629</v>
      </c>
      <c r="D23" s="2165"/>
      <c r="E23" s="2165"/>
      <c r="F23" s="2216"/>
      <c r="G23" s="2217"/>
      <c r="H23" s="1619"/>
      <c r="I23" s="2068"/>
      <c r="J23" s="2214"/>
      <c r="K23" s="3044"/>
      <c r="L23" s="3044"/>
      <c r="M23" s="3044"/>
      <c r="N23" s="2211" t="s">
        <v>2605</v>
      </c>
      <c r="O23" s="2212"/>
      <c r="P23" s="2213">
        <f>SUMPRODUCT((地价!A3:A32=YEAR(G19)&amp;"-"&amp;ROUNDUP(MONTH(G19)/3,0))*(地价!AD2:AH2=N23)*(地价!AD3:AH32))</f>
        <v>0</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1.0581</v>
      </c>
      <c r="D24" s="2220"/>
      <c r="E24" s="2221"/>
      <c r="F24" s="2221"/>
      <c r="G24" s="2221"/>
      <c r="H24" s="2221"/>
      <c r="I24" s="2221"/>
      <c r="J24" s="2222"/>
      <c r="K24" s="3046"/>
      <c r="L24" s="3046"/>
      <c r="M24" s="3046"/>
      <c r="N24" s="2223" t="s">
        <v>2608</v>
      </c>
      <c r="O24" s="2224"/>
      <c r="P24" s="2225">
        <f>SUMPRODUCT((地价!A3:A32=YEAR(G19)&amp;"-"&amp;ROUNDUP(MONTH(G19)/3,0))*(地价!AD2:AH2=N24)*(地价!AD3:AH32))</f>
        <v>0</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0</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0</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7.4999999999999997E-2</v>
      </c>
      <c r="N28" s="2240">
        <f ca="1">ROUND($E$20*(1+N27),3)</f>
        <v>7.1999999999999995E-2</v>
      </c>
      <c r="O28" s="2240">
        <f ca="1">ROUND($E$20*(1+O27),3)</f>
        <v>6.9000000000000006E-2</v>
      </c>
      <c r="P28" s="2156">
        <f ca="1">ROUND($E$20*(1+P27),3)</f>
        <v>6.6000000000000003E-2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0</v>
      </c>
      <c r="D29" s="2242">
        <f>项目基本情况!C12</f>
        <v>126.61</v>
      </c>
      <c r="E29" s="2027">
        <f ca="1">ROUND(C29*D29,0)</f>
        <v>0</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0</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94" t="s">
        <v>2626</v>
      </c>
      <c r="B33" s="2255" t="s">
        <v>2627</v>
      </c>
      <c r="C33" s="54">
        <f ca="1">ROUND(D5*C19*C20*C24*F33,0)</f>
        <v>0</v>
      </c>
      <c r="D33" s="2242"/>
      <c r="E33" s="50">
        <f t="shared" ref="E33:E39" ca="1" si="6">ROUND(C33*D33,0)</f>
        <v>0</v>
      </c>
      <c r="F33" s="50">
        <f>SUMIF(修正!A45:A56,G2,修正!B45:B56)</f>
        <v>0.7</v>
      </c>
      <c r="G33" s="50">
        <f t="shared" ref="G33" ca="1" si="7">ROUND(IF(E2="工业",C33*$M$39,C33*$M$38),0)</f>
        <v>0</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95"/>
      <c r="B34" s="2158" t="s">
        <v>2628</v>
      </c>
      <c r="C34" s="54">
        <f ca="1">ROUND(D5*C19*C20*C24*F34,0)</f>
        <v>0</v>
      </c>
      <c r="D34" s="2242"/>
      <c r="E34" s="50">
        <f t="shared" ca="1" si="6"/>
        <v>0</v>
      </c>
      <c r="F34" s="50">
        <f>SUMIF(修正!A45:A56,G2,修正!C45:C56)</f>
        <v>0.4</v>
      </c>
      <c r="G34" s="50">
        <f ca="1">ROUND(IF(E2="工业",C34*$M$39,C34*$M$38),0)</f>
        <v>0</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95"/>
      <c r="B35" s="2158" t="s">
        <v>2629</v>
      </c>
      <c r="C35" s="54">
        <f ca="1">ROUND(D5*C19*C20*C24*F35,0)</f>
        <v>0</v>
      </c>
      <c r="D35" s="2242"/>
      <c r="E35" s="50">
        <f t="shared" ca="1" si="6"/>
        <v>0</v>
      </c>
      <c r="F35" s="50">
        <f>SUMIF(修正!A45:A56,G2,修正!D45:D56)</f>
        <v>0.28000000000000003</v>
      </c>
      <c r="G35" s="50">
        <f ca="1">ROUND(IF(E2="工业",C35*$M$39,C35*$M$38),0)</f>
        <v>0</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96"/>
      <c r="B36" s="2158" t="s">
        <v>2630</v>
      </c>
      <c r="C36" s="54">
        <f ca="1">ROUND(D5*C19*C20*C24*F36,0)</f>
        <v>0</v>
      </c>
      <c r="D36" s="2242"/>
      <c r="E36" s="50">
        <f t="shared" ca="1" si="6"/>
        <v>0</v>
      </c>
      <c r="F36" s="50">
        <f>SUMIF(修正!A45:A56,G2,修正!E45:E56)</f>
        <v>0.25</v>
      </c>
      <c r="G36" s="50">
        <f ca="1">ROUND(IF(E2="工业",C36*$M$39,C36*$M$38),0)</f>
        <v>0</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0</v>
      </c>
      <c r="D37" s="2242"/>
      <c r="E37" s="50">
        <f t="shared" ca="1" si="6"/>
        <v>0</v>
      </c>
      <c r="F37" s="54">
        <f>SUMIF(修正!A45:A56,G2,修正!F45:F56)</f>
        <v>0.25</v>
      </c>
      <c r="G37" s="50">
        <f ca="1">ROUND(IF(E2="工业",C37*$M$39,C37*$M$38),0)</f>
        <v>0</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6.9000000000000006E-2</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hidden="1">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hidden="1">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hidden="1">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hidden="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hidden="1">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hidden="1">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hidden="1">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hidden="1">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hidden="1">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hidden="1">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hidden="1"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hidden="1">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hidden="1">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hidden="1">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hidden="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hidden="1">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hidden="1">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hidden="1">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hidden="1">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hidden="1">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hidden="1">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hidden="1"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1.0581</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8.0999999999999996E-3</v>
      </c>
      <c r="E70" s="2282">
        <f>ROUND(SUM(D70:D78),4)</f>
        <v>5.8099999999999999E-2</v>
      </c>
      <c r="F70" s="2283">
        <f>IF(E2="住宅",SUMIF(L1:L12,G2,N1:N12),"——")</f>
        <v>0.11700000000000001</v>
      </c>
      <c r="G70" s="2284">
        <f>H70</f>
        <v>8.0999999999999996E-3</v>
      </c>
      <c r="H70" s="2285">
        <f t="shared" ref="H70:H78" si="21">IFERROR(ROUNDDOWN($F$70*I70/2,4),"——")</f>
        <v>8.0999999999999996E-3</v>
      </c>
      <c r="I70" s="2286">
        <v>0.14000000000000001</v>
      </c>
      <c r="J70" s="2287">
        <f t="shared" ref="J70:J78" si="22">K70+$G70</f>
        <v>1.6199999999999999E-2</v>
      </c>
      <c r="K70" s="2287">
        <f t="shared" ref="K70:K78" si="23">$L70+$G70</f>
        <v>8.0999999999999996E-3</v>
      </c>
      <c r="L70" s="2287">
        <v>0</v>
      </c>
      <c r="M70" s="2287">
        <f t="shared" ref="M70:N78" si="24">L70-$G70</f>
        <v>-8.0999999999999996E-3</v>
      </c>
      <c r="N70" s="2287">
        <f t="shared" si="24"/>
        <v>-1.6199999999999999E-2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1.7500000000000002E-2</v>
      </c>
      <c r="E71" s="2289"/>
      <c r="F71" s="2283"/>
      <c r="G71" s="2284">
        <f t="shared" ref="G71:G78" si="25">H71</f>
        <v>1.7500000000000002E-2</v>
      </c>
      <c r="H71" s="2285">
        <f t="shared" si="21"/>
        <v>1.7500000000000002E-2</v>
      </c>
      <c r="I71" s="2286">
        <v>0.3</v>
      </c>
      <c r="J71" s="2287">
        <f t="shared" si="22"/>
        <v>3.5000000000000003E-2</v>
      </c>
      <c r="K71" s="2287">
        <f t="shared" si="23"/>
        <v>1.7500000000000002E-2</v>
      </c>
      <c r="L71" s="2287">
        <v>0</v>
      </c>
      <c r="M71" s="2287">
        <f t="shared" si="24"/>
        <v>-1.7500000000000002E-2</v>
      </c>
      <c r="N71" s="2287">
        <f t="shared" si="24"/>
        <v>-3.5000000000000003E-2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4.5999999999999999E-3</v>
      </c>
      <c r="E72" s="2289"/>
      <c r="F72" s="2283"/>
      <c r="G72" s="2284">
        <f t="shared" si="25"/>
        <v>4.5999999999999999E-3</v>
      </c>
      <c r="H72" s="2285">
        <f t="shared" si="21"/>
        <v>4.5999999999999999E-3</v>
      </c>
      <c r="I72" s="2286">
        <v>0.08</v>
      </c>
      <c r="J72" s="2287">
        <f t="shared" si="22"/>
        <v>9.1999999999999998E-3</v>
      </c>
      <c r="K72" s="2287">
        <f t="shared" si="23"/>
        <v>4.5999999999999999E-3</v>
      </c>
      <c r="L72" s="2287">
        <v>0</v>
      </c>
      <c r="M72" s="2287">
        <f t="shared" si="24"/>
        <v>-4.5999999999999999E-3</v>
      </c>
      <c r="N72" s="2287">
        <f t="shared" si="24"/>
        <v>-9.1999999999999998E-3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32</v>
      </c>
      <c r="D73" s="2281">
        <f t="shared" si="20"/>
        <v>-2.3E-3</v>
      </c>
      <c r="E73" s="2289"/>
      <c r="F73" s="2283"/>
      <c r="G73" s="2284">
        <f t="shared" si="25"/>
        <v>2.3E-3</v>
      </c>
      <c r="H73" s="2285">
        <f t="shared" si="21"/>
        <v>2.3E-3</v>
      </c>
      <c r="I73" s="2286">
        <v>0.04</v>
      </c>
      <c r="J73" s="2287">
        <f t="shared" si="22"/>
        <v>4.5999999999999999E-3</v>
      </c>
      <c r="K73" s="2287">
        <f t="shared" si="23"/>
        <v>2.3E-3</v>
      </c>
      <c r="L73" s="2287">
        <v>0</v>
      </c>
      <c r="M73" s="2287">
        <f t="shared" si="24"/>
        <v>-2.3E-3</v>
      </c>
      <c r="N73" s="2287">
        <f t="shared" si="24"/>
        <v>-4.5999999999999999E-3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4.5999999999999999E-3</v>
      </c>
      <c r="E74" s="2289"/>
      <c r="F74" s="2283"/>
      <c r="G74" s="2284">
        <f t="shared" si="25"/>
        <v>4.5999999999999999E-3</v>
      </c>
      <c r="H74" s="2285">
        <f t="shared" si="21"/>
        <v>4.5999999999999999E-3</v>
      </c>
      <c r="I74" s="2286">
        <v>0.08</v>
      </c>
      <c r="J74" s="2287">
        <f t="shared" si="22"/>
        <v>9.1999999999999998E-3</v>
      </c>
      <c r="K74" s="2287">
        <f t="shared" si="23"/>
        <v>4.5999999999999999E-3</v>
      </c>
      <c r="L74" s="2287">
        <v>0</v>
      </c>
      <c r="M74" s="2287">
        <f t="shared" si="24"/>
        <v>-4.5999999999999999E-3</v>
      </c>
      <c r="N74" s="2287">
        <f t="shared" si="24"/>
        <v>-9.1999999999999998E-3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29</v>
      </c>
      <c r="D75" s="2281">
        <f t="shared" si="20"/>
        <v>1.4E-2</v>
      </c>
      <c r="E75" s="2289"/>
      <c r="F75" s="2283"/>
      <c r="G75" s="2284">
        <f t="shared" si="25"/>
        <v>7.0000000000000001E-3</v>
      </c>
      <c r="H75" s="2285">
        <f t="shared" si="21"/>
        <v>7.0000000000000001E-3</v>
      </c>
      <c r="I75" s="2286">
        <v>0.12</v>
      </c>
      <c r="J75" s="2287">
        <f t="shared" si="22"/>
        <v>1.4E-2</v>
      </c>
      <c r="K75" s="2287">
        <f t="shared" si="23"/>
        <v>7.0000000000000001E-3</v>
      </c>
      <c r="L75" s="2287">
        <v>0</v>
      </c>
      <c r="M75" s="2287">
        <f t="shared" si="24"/>
        <v>-7.0000000000000001E-3</v>
      </c>
      <c r="N75" s="2287">
        <f t="shared" si="24"/>
        <v>-1.4E-2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2.8999999999999998E-3</v>
      </c>
      <c r="E76" s="2289"/>
      <c r="F76" s="2283"/>
      <c r="G76" s="2284">
        <f t="shared" si="25"/>
        <v>2.8999999999999998E-3</v>
      </c>
      <c r="H76" s="2285">
        <f t="shared" si="21"/>
        <v>2.8999999999999998E-3</v>
      </c>
      <c r="I76" s="2286">
        <v>0.05</v>
      </c>
      <c r="J76" s="2287">
        <f t="shared" si="22"/>
        <v>5.7999999999999996E-3</v>
      </c>
      <c r="K76" s="2287">
        <f t="shared" si="23"/>
        <v>2.8999999999999998E-3</v>
      </c>
      <c r="L76" s="2287">
        <v>0</v>
      </c>
      <c r="M76" s="2287">
        <f t="shared" si="24"/>
        <v>-2.8999999999999998E-3</v>
      </c>
      <c r="N76" s="2287">
        <f t="shared" si="24"/>
        <v>-5.7999999999999996E-3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8.6999999999999994E-3</v>
      </c>
      <c r="E77" s="2289"/>
      <c r="F77" s="2283"/>
      <c r="G77" s="2284">
        <f t="shared" si="25"/>
        <v>8.6999999999999994E-3</v>
      </c>
      <c r="H77" s="2285">
        <f t="shared" si="21"/>
        <v>8.6999999999999994E-3</v>
      </c>
      <c r="I77" s="2286">
        <v>0.15</v>
      </c>
      <c r="J77" s="2287">
        <f t="shared" si="22"/>
        <v>1.7399999999999999E-2</v>
      </c>
      <c r="K77" s="2287">
        <f t="shared" si="23"/>
        <v>8.6999999999999994E-3</v>
      </c>
      <c r="L77" s="2287">
        <v>0</v>
      </c>
      <c r="M77" s="2287">
        <f t="shared" si="24"/>
        <v>-8.6999999999999994E-3</v>
      </c>
      <c r="N77" s="2287">
        <f t="shared" si="24"/>
        <v>-1.7399999999999999E-2</v>
      </c>
      <c r="Q77" s="3052"/>
      <c r="R77" s="3052"/>
      <c r="S77" s="3052"/>
      <c r="T77" s="3052"/>
      <c r="U77" s="3052"/>
      <c r="V77" s="3052"/>
      <c r="W77" s="3052"/>
      <c r="AA77" s="1623"/>
      <c r="AG77" s="2263"/>
    </row>
    <row r="78" spans="1:33" ht="24.75" thickBot="1">
      <c r="A78" s="2294" t="s">
        <v>2671</v>
      </c>
      <c r="B78" s="2300"/>
      <c r="C78" s="2162" t="s">
        <v>31</v>
      </c>
      <c r="D78" s="2281">
        <f t="shared" si="20"/>
        <v>0</v>
      </c>
      <c r="E78" s="2296"/>
      <c r="F78" s="2283"/>
      <c r="G78" s="2284">
        <f t="shared" si="25"/>
        <v>2.3E-3</v>
      </c>
      <c r="H78" s="2285">
        <f t="shared" si="21"/>
        <v>2.3E-3</v>
      </c>
      <c r="I78" s="2297">
        <v>0.04</v>
      </c>
      <c r="J78" s="2287">
        <f t="shared" si="22"/>
        <v>4.5999999999999999E-3</v>
      </c>
      <c r="K78" s="2287">
        <f t="shared" si="23"/>
        <v>2.3E-3</v>
      </c>
      <c r="L78" s="2287">
        <v>0</v>
      </c>
      <c r="M78" s="2287">
        <f t="shared" si="24"/>
        <v>-2.3E-3</v>
      </c>
      <c r="N78" s="2287">
        <f t="shared" si="24"/>
        <v>-4.5999999999999999E-3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86" t="s">
        <v>2675</v>
      </c>
      <c r="B90" s="3486"/>
      <c r="C90" s="3486"/>
      <c r="D90" s="3486"/>
      <c r="E90" s="3486"/>
      <c r="F90" s="3486"/>
      <c r="G90" s="3486"/>
      <c r="H90" s="3486"/>
      <c r="I90" s="3486"/>
      <c r="J90" s="3486"/>
      <c r="K90" s="2304"/>
      <c r="L90" s="2304"/>
      <c r="M90" s="2304"/>
      <c r="N90" s="2304"/>
      <c r="Q90" s="3052"/>
      <c r="R90" s="3052"/>
      <c r="S90" s="3052"/>
      <c r="T90" s="3052"/>
      <c r="U90" s="3052"/>
      <c r="V90" s="3052"/>
      <c r="W90" s="3052"/>
    </row>
    <row r="91" spans="1:33">
      <c r="A91" s="3488" t="s">
        <v>2676</v>
      </c>
      <c r="B91" s="3488"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88"/>
      <c r="B92" s="3488"/>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89"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90"/>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90"/>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90"/>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90"/>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90"/>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90"/>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2"/>
      <c r="R99" s="3052"/>
      <c r="S99" s="3052"/>
      <c r="T99" s="3052"/>
      <c r="U99" s="3052"/>
      <c r="V99" s="3052"/>
      <c r="W99" s="3052"/>
    </row>
    <row r="100" spans="1:23">
      <c r="A100" s="3491"/>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2"/>
      <c r="R100" s="3052"/>
      <c r="S100" s="3052"/>
      <c r="T100" s="3052"/>
      <c r="U100" s="3052"/>
      <c r="V100" s="3052"/>
      <c r="W100" s="3052"/>
    </row>
    <row r="101" spans="1:23">
      <c r="A101" s="3489" t="s">
        <v>2680</v>
      </c>
      <c r="B101" s="2311" t="s">
        <v>2681</v>
      </c>
      <c r="C101" s="2312">
        <f>$G$3</f>
        <v>1.8</v>
      </c>
      <c r="D101" s="2312">
        <f t="shared" ref="D101:N101" si="32">$G$3</f>
        <v>1.8</v>
      </c>
      <c r="E101" s="2312">
        <f t="shared" si="32"/>
        <v>1.8</v>
      </c>
      <c r="F101" s="2312">
        <f t="shared" si="32"/>
        <v>1.8</v>
      </c>
      <c r="G101" s="2312">
        <f t="shared" si="32"/>
        <v>1.8</v>
      </c>
      <c r="H101" s="2312">
        <f t="shared" si="32"/>
        <v>1.8</v>
      </c>
      <c r="I101" s="2312">
        <f t="shared" si="32"/>
        <v>1.8</v>
      </c>
      <c r="J101" s="2312">
        <f t="shared" si="32"/>
        <v>1.8</v>
      </c>
      <c r="K101" s="2312">
        <f t="shared" si="32"/>
        <v>1.8</v>
      </c>
      <c r="L101" s="2312">
        <f t="shared" si="32"/>
        <v>1.8</v>
      </c>
      <c r="M101" s="2312">
        <f t="shared" si="32"/>
        <v>1.8</v>
      </c>
      <c r="N101" s="2312">
        <f t="shared" si="32"/>
        <v>1.8</v>
      </c>
      <c r="Q101" s="3052"/>
      <c r="R101" s="3052"/>
      <c r="S101" s="3052"/>
      <c r="T101" s="3052"/>
      <c r="U101" s="3052"/>
      <c r="V101" s="3052"/>
      <c r="W101" s="3052"/>
    </row>
    <row r="102" spans="1:23">
      <c r="A102" s="3490"/>
      <c r="B102" s="2307">
        <v>1</v>
      </c>
      <c r="C102" s="2308">
        <f>1.9362/C101</f>
        <v>1.0756666666666665</v>
      </c>
      <c r="D102" s="2308">
        <f>1.9362/D101</f>
        <v>1.0756666666666665</v>
      </c>
      <c r="E102" s="2308">
        <f>1.8629/E101</f>
        <v>1.0349444444444444</v>
      </c>
      <c r="F102" s="2308">
        <f>1.8629/F101</f>
        <v>1.0349444444444444</v>
      </c>
      <c r="G102" s="2308">
        <f>1.8629/G101</f>
        <v>1.0349444444444444</v>
      </c>
      <c r="H102" s="2308">
        <f>1.8629/H101</f>
        <v>1.0349444444444444</v>
      </c>
      <c r="I102" s="2308">
        <f>1.8629/I101</f>
        <v>1.0349444444444444</v>
      </c>
      <c r="J102" s="2308">
        <f>1.942/J101</f>
        <v>1.0788888888888888</v>
      </c>
      <c r="K102" s="2308">
        <f>1.942/K101</f>
        <v>1.0788888888888888</v>
      </c>
      <c r="L102" s="2308">
        <f>1.942/L101</f>
        <v>1.0788888888888888</v>
      </c>
      <c r="M102" s="2308">
        <f>1.942/M101</f>
        <v>1.0788888888888888</v>
      </c>
      <c r="N102" s="2308">
        <f>1.942/N101</f>
        <v>1.0788888888888888</v>
      </c>
      <c r="Q102" s="3052"/>
      <c r="R102" s="3052"/>
      <c r="S102" s="3052"/>
      <c r="T102" s="3052"/>
      <c r="U102" s="3052"/>
      <c r="V102" s="3052"/>
      <c r="W102" s="3052"/>
    </row>
    <row r="103" spans="1:23">
      <c r="A103" s="3490"/>
      <c r="B103" s="2307">
        <v>2</v>
      </c>
      <c r="C103" s="2308">
        <f>1.4198/C101</f>
        <v>0.78877777777777769</v>
      </c>
      <c r="D103" s="2308">
        <f>1.4198/D101</f>
        <v>0.78877777777777769</v>
      </c>
      <c r="E103" s="2308">
        <f>1.3372/E101</f>
        <v>0.74288888888888882</v>
      </c>
      <c r="F103" s="2308">
        <f>1.3372/F101</f>
        <v>0.74288888888888882</v>
      </c>
      <c r="G103" s="2308">
        <f>1.3372/G101</f>
        <v>0.74288888888888882</v>
      </c>
      <c r="H103" s="2308">
        <f>1.3372/H101</f>
        <v>0.74288888888888882</v>
      </c>
      <c r="I103" s="2308">
        <f>1.3372/I101</f>
        <v>0.74288888888888882</v>
      </c>
      <c r="J103" s="2308">
        <f>1.2799/J101</f>
        <v>0.71105555555555555</v>
      </c>
      <c r="K103" s="2308">
        <f>1.2799/K101</f>
        <v>0.71105555555555555</v>
      </c>
      <c r="L103" s="2308">
        <f>1.2799/L101</f>
        <v>0.71105555555555555</v>
      </c>
      <c r="M103" s="2308">
        <f>1.2799/M101</f>
        <v>0.71105555555555555</v>
      </c>
      <c r="N103" s="2308">
        <f>1.2799/N101</f>
        <v>0.71105555555555555</v>
      </c>
      <c r="Q103" s="3052"/>
      <c r="R103" s="3052"/>
      <c r="S103" s="3052"/>
      <c r="T103" s="3052"/>
      <c r="U103" s="3052"/>
      <c r="V103" s="3052"/>
      <c r="W103" s="3052"/>
    </row>
    <row r="104" spans="1:23">
      <c r="A104" s="3490"/>
      <c r="B104" s="2307">
        <v>3</v>
      </c>
      <c r="C104" s="2308">
        <f>1.1594/C101</f>
        <v>0.64411111111111108</v>
      </c>
      <c r="D104" s="2308">
        <f>1.1594/D101</f>
        <v>0.64411111111111108</v>
      </c>
      <c r="E104" s="2308">
        <f>1.0788/E101</f>
        <v>0.59933333333333327</v>
      </c>
      <c r="F104" s="2308">
        <f>1.0788/F101</f>
        <v>0.59933333333333327</v>
      </c>
      <c r="G104" s="2308">
        <f>1.0788/G101</f>
        <v>0.59933333333333327</v>
      </c>
      <c r="H104" s="2308">
        <f>1.0788/H101</f>
        <v>0.59933333333333327</v>
      </c>
      <c r="I104" s="2308">
        <f>1.0788/I101</f>
        <v>0.59933333333333327</v>
      </c>
      <c r="J104" s="2308">
        <f>1.0072/J101</f>
        <v>0.55955555555555558</v>
      </c>
      <c r="K104" s="2308">
        <f>1.0072/K101</f>
        <v>0.55955555555555558</v>
      </c>
      <c r="L104" s="2308">
        <f>1.0072/L101</f>
        <v>0.55955555555555558</v>
      </c>
      <c r="M104" s="2308">
        <f>1.0072/M101</f>
        <v>0.55955555555555558</v>
      </c>
      <c r="N104" s="2308">
        <f>1.0072/N101</f>
        <v>0.55955555555555558</v>
      </c>
      <c r="Q104" s="3052"/>
      <c r="R104" s="3052"/>
      <c r="S104" s="3052"/>
      <c r="T104" s="3052"/>
      <c r="U104" s="3052"/>
      <c r="V104" s="3052"/>
      <c r="W104" s="3052"/>
    </row>
    <row r="105" spans="1:23">
      <c r="A105" s="3490"/>
      <c r="B105" s="2307">
        <v>4</v>
      </c>
      <c r="C105" s="2308">
        <f>0.9622/C101</f>
        <v>0.53455555555555556</v>
      </c>
      <c r="D105" s="2308">
        <f>0.9622/D101</f>
        <v>0.53455555555555556</v>
      </c>
      <c r="E105" s="2308">
        <f>0.8656/E101</f>
        <v>0.48088888888888892</v>
      </c>
      <c r="F105" s="2308">
        <f>0.8656/F101</f>
        <v>0.48088888888888892</v>
      </c>
      <c r="G105" s="2308">
        <f>0.8656/G101</f>
        <v>0.48088888888888892</v>
      </c>
      <c r="H105" s="2308">
        <f>0.8656/H101</f>
        <v>0.48088888888888892</v>
      </c>
      <c r="I105" s="2308">
        <f>0.8656/I101</f>
        <v>0.48088888888888892</v>
      </c>
      <c r="J105" s="2308">
        <f>0.7525/J101</f>
        <v>0.41805555555555551</v>
      </c>
      <c r="K105" s="2308">
        <f>0.7525/K101</f>
        <v>0.41805555555555551</v>
      </c>
      <c r="L105" s="2308">
        <f>0.7525/L101</f>
        <v>0.41805555555555551</v>
      </c>
      <c r="M105" s="2308">
        <f>0.7525/M101</f>
        <v>0.41805555555555551</v>
      </c>
      <c r="N105" s="2308">
        <f>0.7525/N101</f>
        <v>0.41805555555555551</v>
      </c>
      <c r="Q105" s="3052"/>
      <c r="R105" s="3052"/>
      <c r="S105" s="3052"/>
      <c r="T105" s="3052"/>
      <c r="U105" s="3052"/>
      <c r="V105" s="3052"/>
      <c r="W105" s="3052"/>
    </row>
    <row r="106" spans="1:23">
      <c r="A106" s="3490"/>
      <c r="B106" s="2307">
        <v>5</v>
      </c>
      <c r="C106" s="2308">
        <f>0.8417/C101</f>
        <v>0.46761111111111109</v>
      </c>
      <c r="D106" s="2308">
        <f>0.8417/D101</f>
        <v>0.46761111111111109</v>
      </c>
      <c r="E106" s="2308">
        <f>0.7371/E101</f>
        <v>0.40949999999999998</v>
      </c>
      <c r="F106" s="2308">
        <f>0.7371/F101</f>
        <v>0.40949999999999998</v>
      </c>
      <c r="G106" s="2308">
        <f>0.7371/G101</f>
        <v>0.40949999999999998</v>
      </c>
      <c r="H106" s="2308">
        <f>0.7371/H101</f>
        <v>0.40949999999999998</v>
      </c>
      <c r="I106" s="2308">
        <f>0.7371/I101</f>
        <v>0.40949999999999998</v>
      </c>
      <c r="J106" s="2308">
        <f>0.5659/J101</f>
        <v>0.31438888888888888</v>
      </c>
      <c r="K106" s="2308">
        <f>0.5659/K101</f>
        <v>0.31438888888888888</v>
      </c>
      <c r="L106" s="2308">
        <f>0.5659/L101</f>
        <v>0.31438888888888888</v>
      </c>
      <c r="M106" s="2308">
        <f>0.5659/M101</f>
        <v>0.31438888888888888</v>
      </c>
      <c r="N106" s="2308">
        <f>0.5659/N101</f>
        <v>0.31438888888888888</v>
      </c>
      <c r="Q106" s="3052"/>
      <c r="R106" s="3052"/>
      <c r="S106" s="3052"/>
      <c r="T106" s="3052"/>
      <c r="U106" s="3052"/>
      <c r="V106" s="3052"/>
      <c r="W106" s="3052"/>
    </row>
    <row r="107" spans="1:23">
      <c r="A107" s="3490"/>
      <c r="B107" s="2307">
        <v>6</v>
      </c>
      <c r="C107" s="2308">
        <f>0.7608/C101</f>
        <v>0.42266666666666669</v>
      </c>
      <c r="D107" s="2308">
        <f>0.7608/D101</f>
        <v>0.42266666666666669</v>
      </c>
      <c r="E107" s="2308">
        <f>0.6482/E101</f>
        <v>0.3601111111111111</v>
      </c>
      <c r="F107" s="2308">
        <f>0.6482/F101</f>
        <v>0.3601111111111111</v>
      </c>
      <c r="G107" s="2308">
        <f>0.6482/G101</f>
        <v>0.3601111111111111</v>
      </c>
      <c r="H107" s="2308">
        <f>0.6482/H101</f>
        <v>0.3601111111111111</v>
      </c>
      <c r="I107" s="2308">
        <f>0.6482/I101</f>
        <v>0.3601111111111111</v>
      </c>
      <c r="J107" s="2308">
        <f>0.4525/J101</f>
        <v>0.25138888888888888</v>
      </c>
      <c r="K107" s="2308">
        <f>0.4525/K101</f>
        <v>0.25138888888888888</v>
      </c>
      <c r="L107" s="2308">
        <f>0.4525/L101</f>
        <v>0.25138888888888888</v>
      </c>
      <c r="M107" s="2308">
        <f>0.4525/M101</f>
        <v>0.25138888888888888</v>
      </c>
      <c r="N107" s="2308">
        <f>0.4525/N101</f>
        <v>0.25138888888888888</v>
      </c>
      <c r="Q107" s="3052"/>
      <c r="R107" s="3052"/>
      <c r="S107" s="3052"/>
      <c r="T107" s="3052"/>
      <c r="U107" s="3052"/>
      <c r="V107" s="3052"/>
      <c r="W107" s="3052"/>
    </row>
    <row r="108" spans="1:23">
      <c r="A108" s="3490"/>
      <c r="B108" s="3492"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2"/>
      <c r="R108" s="3052"/>
      <c r="S108" s="3052"/>
      <c r="T108" s="3052"/>
      <c r="U108" s="3052"/>
      <c r="V108" s="3052"/>
      <c r="W108" s="3052"/>
    </row>
    <row r="109" spans="1:23">
      <c r="A109" s="3491"/>
      <c r="B109" s="3493"/>
      <c r="C109" s="2310">
        <f>(-0.163*(C108^2)-0.59*C108+7617)*(10^(-4))/C101</f>
        <v>0.42312483333333334</v>
      </c>
      <c r="D109" s="2310">
        <f>(-0.163*(D108^2)-0.59*D108+7617)*(10^(-4))/D101</f>
        <v>0.42312483333333334</v>
      </c>
      <c r="E109" s="2310">
        <f>(-0.161*(E108^2)-7.509*E108+6533)*(10^(-4))/E101</f>
        <v>0.36251833333333333</v>
      </c>
      <c r="F109" s="2310">
        <f>(-0.161*(F108^2)-7.509*F108+6533)*(10^(-4))/F101</f>
        <v>0.36251833333333333</v>
      </c>
      <c r="G109" s="2310">
        <f>(-0.161*(G108^2)-7.509*G108+6533)*(10^(-4))/G101</f>
        <v>0.36251833333333333</v>
      </c>
      <c r="H109" s="2310">
        <f>(-0.161*(H108^2)-7.509*H108+6533)*(10^(-4))/H101</f>
        <v>0.36251833333333333</v>
      </c>
      <c r="I109" s="2310">
        <f>(-0.161*(I108^2)-7.509*I108+6533)*(10^(-4))/I101</f>
        <v>0.36251833333333333</v>
      </c>
      <c r="J109" s="2310">
        <f>(-0.214*(J108^2)-21.991*J108+4665)*(10^(-4))/J101</f>
        <v>0.25793305555555557</v>
      </c>
      <c r="K109" s="2310">
        <f>(-0.214*(K108^2)-21.991*K108+4665)*(10^(-4))/K101</f>
        <v>0.25793305555555557</v>
      </c>
      <c r="L109" s="2310">
        <f>(-0.214*(L108^2)-21.991*L108+4665)*(10^(-4))/L101</f>
        <v>0.25793305555555557</v>
      </c>
      <c r="M109" s="2310">
        <f>(-0.214*(M108^2)-21.991*M108+4665)*(10^(-4))/M101</f>
        <v>0.25793305555555557</v>
      </c>
      <c r="N109" s="2310">
        <f>(-0.214*(N108^2)-21.991*N108+4665)*(10^(-4))/N101</f>
        <v>0.25793305555555557</v>
      </c>
      <c r="Q109" s="3052"/>
      <c r="R109" s="3052"/>
      <c r="S109" s="3052"/>
      <c r="T109" s="3052"/>
      <c r="U109" s="3052"/>
      <c r="V109" s="3052"/>
      <c r="W109" s="3052"/>
    </row>
    <row r="110" spans="1:23">
      <c r="A110" s="3487" t="s">
        <v>2683</v>
      </c>
      <c r="B110" s="3487"/>
      <c r="C110" s="3487"/>
      <c r="D110" s="3487"/>
      <c r="E110" s="3487"/>
      <c r="F110" s="3487"/>
      <c r="G110" s="3487"/>
      <c r="H110" s="3487"/>
      <c r="I110" s="3487"/>
      <c r="J110" s="3487"/>
      <c r="K110" s="2076"/>
      <c r="L110" s="2076"/>
      <c r="M110" s="2076"/>
      <c r="N110" s="2076"/>
      <c r="Q110" s="3052"/>
      <c r="R110" s="3052"/>
      <c r="S110" s="3052"/>
      <c r="T110" s="3052"/>
      <c r="U110" s="3052"/>
      <c r="V110" s="3052"/>
      <c r="W110" s="3052"/>
    </row>
    <row r="112" spans="1:23" ht="13.5" thickBot="1"/>
    <row r="113" spans="1:13" ht="25.5" thickBot="1">
      <c r="A113" s="2313" t="s">
        <v>2684</v>
      </c>
      <c r="B113" s="2314">
        <f>G3</f>
        <v>1.8</v>
      </c>
      <c r="C113" s="2315" t="s">
        <v>2685</v>
      </c>
      <c r="D113" s="2316">
        <f>SUMPRODUCT((A115:A118=F113)*(B114:M114=H113)*B115:M118)</f>
        <v>0.86040000000000005</v>
      </c>
      <c r="E113" s="1601" t="s">
        <v>2571</v>
      </c>
      <c r="F113" s="2317" t="str">
        <f>E2</f>
        <v>住宅</v>
      </c>
      <c r="G113" s="1601" t="s">
        <v>2508</v>
      </c>
      <c r="H113" s="2317" t="str">
        <f>G2</f>
        <v>六级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0.91659999999999997</v>
      </c>
      <c r="C115" s="2326">
        <f>B115</f>
        <v>0.91659999999999997</v>
      </c>
      <c r="D115" s="2326">
        <f>ROUND(0.8331-0.0109*B113,4)</f>
        <v>0.8135</v>
      </c>
      <c r="E115" s="2326">
        <f>D115</f>
        <v>0.8135</v>
      </c>
      <c r="F115" s="2326">
        <f>E115</f>
        <v>0.8135</v>
      </c>
      <c r="G115" s="2326">
        <f>F115</f>
        <v>0.8135</v>
      </c>
      <c r="H115" s="2326">
        <f>G115</f>
        <v>0.8135</v>
      </c>
      <c r="I115" s="2326">
        <f>ROUND(0.689-0.0155*B113,4)</f>
        <v>0.66110000000000002</v>
      </c>
      <c r="J115" s="2326">
        <f t="shared" ref="J115:M118" si="34">I115</f>
        <v>0.66110000000000002</v>
      </c>
      <c r="K115" s="2326">
        <f t="shared" si="34"/>
        <v>0.66110000000000002</v>
      </c>
      <c r="L115" s="2326">
        <f t="shared" si="34"/>
        <v>0.66110000000000002</v>
      </c>
      <c r="M115" s="2327">
        <f t="shared" si="34"/>
        <v>0.66110000000000002</v>
      </c>
    </row>
    <row r="116" spans="1:13">
      <c r="A116" s="2325" t="s">
        <v>2573</v>
      </c>
      <c r="B116" s="2326">
        <f>ROUND(0.949-0.012*B113,4)</f>
        <v>0.9274</v>
      </c>
      <c r="C116" s="2326">
        <f>B116</f>
        <v>0.9274</v>
      </c>
      <c r="D116" s="2326">
        <f>ROUND(0.8567-0.013*B113,4)</f>
        <v>0.83330000000000004</v>
      </c>
      <c r="E116" s="2326">
        <f t="shared" ref="E116:H117" si="35">D116</f>
        <v>0.83330000000000004</v>
      </c>
      <c r="F116" s="2326">
        <f t="shared" si="35"/>
        <v>0.83330000000000004</v>
      </c>
      <c r="G116" s="2326">
        <f t="shared" si="35"/>
        <v>0.83330000000000004</v>
      </c>
      <c r="H116" s="2326">
        <f t="shared" si="35"/>
        <v>0.83330000000000004</v>
      </c>
      <c r="I116" s="2326">
        <f>ROUND(0.7694-0.014*B113,4)</f>
        <v>0.74419999999999997</v>
      </c>
      <c r="J116" s="2326">
        <f t="shared" si="34"/>
        <v>0.74419999999999997</v>
      </c>
      <c r="K116" s="2326">
        <f t="shared" si="34"/>
        <v>0.74419999999999997</v>
      </c>
      <c r="L116" s="2326">
        <f t="shared" si="34"/>
        <v>0.74419999999999997</v>
      </c>
      <c r="M116" s="2327">
        <f t="shared" si="34"/>
        <v>0.74419999999999997</v>
      </c>
    </row>
    <row r="117" spans="1:13">
      <c r="A117" s="2325" t="s">
        <v>2574</v>
      </c>
      <c r="B117" s="2326">
        <f>ROUND(0.8808-0.006*B113,4)</f>
        <v>0.87</v>
      </c>
      <c r="C117" s="2326">
        <f>B117</f>
        <v>0.87</v>
      </c>
      <c r="D117" s="2326">
        <f>ROUND(0.8748-0.008*B113,4)</f>
        <v>0.86040000000000005</v>
      </c>
      <c r="E117" s="2326">
        <f t="shared" si="35"/>
        <v>0.86040000000000005</v>
      </c>
      <c r="F117" s="2326">
        <f t="shared" si="35"/>
        <v>0.86040000000000005</v>
      </c>
      <c r="G117" s="2326">
        <f t="shared" si="35"/>
        <v>0.86040000000000005</v>
      </c>
      <c r="H117" s="2326">
        <f t="shared" si="35"/>
        <v>0.86040000000000005</v>
      </c>
      <c r="I117" s="2326">
        <f>ROUND(0.7412-0.0095*B113,4)</f>
        <v>0.72409999999999997</v>
      </c>
      <c r="J117" s="2326">
        <f t="shared" si="34"/>
        <v>0.72409999999999997</v>
      </c>
      <c r="K117" s="2326">
        <f t="shared" si="34"/>
        <v>0.72409999999999997</v>
      </c>
      <c r="L117" s="2326">
        <f t="shared" si="34"/>
        <v>0.72409999999999997</v>
      </c>
      <c r="M117" s="2327">
        <f t="shared" si="34"/>
        <v>0.72409999999999997</v>
      </c>
    </row>
    <row r="118" spans="1:13" ht="13.5" thickBot="1">
      <c r="A118" s="2328" t="s">
        <v>2575</v>
      </c>
      <c r="B118" s="2329">
        <f>ROUND(0.7275-0.01*B113,4)</f>
        <v>0.70950000000000002</v>
      </c>
      <c r="C118" s="2329">
        <f>B118</f>
        <v>0.70950000000000002</v>
      </c>
      <c r="D118" s="2329">
        <f>ROUND(0.7043-0.012*B113,4)</f>
        <v>0.68269999999999997</v>
      </c>
      <c r="E118" s="2329">
        <f>D118</f>
        <v>0.68269999999999997</v>
      </c>
      <c r="F118" s="2329">
        <f>E118</f>
        <v>0.68269999999999997</v>
      </c>
      <c r="G118" s="2329">
        <f>ROUND(0.6299-0.0122*B113,4)</f>
        <v>0.6079</v>
      </c>
      <c r="H118" s="2329">
        <f>G118</f>
        <v>0.6079</v>
      </c>
      <c r="I118" s="2329">
        <f>ROUND(0.5667-0.0136*B113,4)</f>
        <v>0.54220000000000002</v>
      </c>
      <c r="J118" s="2329">
        <f t="shared" si="34"/>
        <v>0.54220000000000002</v>
      </c>
      <c r="K118" s="2329">
        <f t="shared" si="34"/>
        <v>0.54220000000000002</v>
      </c>
      <c r="L118" s="2329">
        <f t="shared" si="34"/>
        <v>0.54220000000000002</v>
      </c>
      <c r="M118" s="2330">
        <f t="shared" si="34"/>
        <v>0.54220000000000002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18707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0.16000000000000003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0.02</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-18992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-18992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-285</v>
      </c>
      <c r="D22" s="180"/>
      <c r="E22" s="180"/>
      <c r="F22" s="181">
        <f>'数据-取费表'!E25</f>
        <v>1.4999999999999999E-2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6.1500000000000006E-2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-964</v>
      </c>
      <c r="D28" s="183">
        <f>C29</f>
        <v>5.1499999999999997E-2</v>
      </c>
      <c r="E28" s="189" t="s">
        <v>12</v>
      </c>
      <c r="F28" s="200">
        <f>'数据-取费表'!E28</f>
        <v>0.05</v>
      </c>
      <c r="G28" s="185"/>
      <c r="H28" s="186"/>
      <c r="I28" s="186"/>
      <c r="J28" s="186"/>
      <c r="K28" s="187"/>
    </row>
    <row r="29" spans="1:33" s="204" customFormat="1" ht="13.5" customHeight="1">
      <c r="A29" s="996" t="s">
        <v>1341</v>
      </c>
      <c r="B29" s="202" t="s">
        <v>1342</v>
      </c>
      <c r="C29" s="193">
        <f>ROUND((1+C24)*F28,4)</f>
        <v>5.1499999999999997E-2</v>
      </c>
      <c r="D29" s="193"/>
      <c r="E29" s="194"/>
      <c r="F29" s="203"/>
      <c r="G29" s="147" t="s">
        <v>1343</v>
      </c>
      <c r="H29" s="170"/>
      <c r="I29" s="170"/>
      <c r="J29" s="170"/>
      <c r="K29" s="171"/>
    </row>
    <row r="30" spans="1:33" s="204" customFormat="1" ht="13.5" customHeight="1">
      <c r="A30" s="996" t="s">
        <v>1344</v>
      </c>
      <c r="B30" s="202" t="s">
        <v>1345</v>
      </c>
      <c r="C30" s="205">
        <f>ROUND((C21+C22+C23)*F28,0)</f>
        <v>-964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18707</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北京市昌平区回龙观镇龙跃苑东四区8号楼房地产市场价值预评估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126.61</v>
      </c>
      <c r="G7" s="951"/>
      <c r="H7" s="237"/>
      <c r="I7" s="238"/>
      <c r="J7" s="239"/>
      <c r="K7" s="240"/>
      <c r="L7" s="235" t="s">
        <v>2018</v>
      </c>
      <c r="M7" s="236">
        <f>IF('数据-取费表'!B42="",IF(D1="仅计算典型户型",'数据-取费表'!E5,'数据-取费表'!B5),'数据-取费表'!B42)</f>
        <v>126.61</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0.03</v>
      </c>
      <c r="G11" s="952"/>
      <c r="H11" s="241"/>
      <c r="I11" s="1523" t="s">
        <v>2028</v>
      </c>
      <c r="J11" s="1091"/>
      <c r="K11" s="240"/>
      <c r="L11" s="246" t="s">
        <v>2027</v>
      </c>
      <c r="M11" s="247">
        <f ca="1">'数据-取费表'!B31</f>
        <v>0.03</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361340</v>
      </c>
      <c r="D13" s="1094" t="s">
        <v>2032</v>
      </c>
      <c r="E13" s="1094" t="s">
        <v>2033</v>
      </c>
      <c r="F13" s="1095">
        <f>'数据-取费表'!E20</f>
        <v>0.84</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316525</v>
      </c>
      <c r="D14" s="1328" t="s">
        <v>2036</v>
      </c>
      <c r="E14" s="1329"/>
      <c r="F14" s="799"/>
      <c r="G14" s="952"/>
      <c r="H14" s="253" t="s">
        <v>2015</v>
      </c>
      <c r="I14" s="235" t="s">
        <v>2037</v>
      </c>
      <c r="J14" s="13">
        <f ca="1">C29</f>
        <v>430167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9496</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6331</v>
      </c>
      <c r="D16" s="235" t="s">
        <v>2040</v>
      </c>
      <c r="E16" s="235" t="s">
        <v>2041</v>
      </c>
      <c r="F16" s="258">
        <f>IF('数据-取费表'!B10="住宅",'数据-取费表'!E22,0)</f>
        <v>0.02</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18992</v>
      </c>
      <c r="D17" s="235" t="s">
        <v>2050</v>
      </c>
      <c r="E17" s="235" t="s">
        <v>2051</v>
      </c>
      <c r="F17" s="15">
        <f>'数据-取费表'!E23</f>
        <v>150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4748</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5.5000000000000007E-2</v>
      </c>
    </row>
    <row r="19" spans="1:37" s="257" customFormat="1" ht="18" customHeight="1">
      <c r="A19" s="253" t="s">
        <v>2052</v>
      </c>
      <c r="B19" s="235" t="s">
        <v>2060</v>
      </c>
      <c r="C19" s="13">
        <f>SUM(C14:C18)</f>
        <v>356092</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5341</v>
      </c>
      <c r="D20" s="259" t="s">
        <v>2065</v>
      </c>
      <c r="E20" s="235" t="s">
        <v>2066</v>
      </c>
      <c r="F20" s="258">
        <f>'数据-取费表'!E25</f>
        <v>1.4999999999999999E-2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0.01</v>
      </c>
      <c r="D21" s="259" t="s">
        <v>2072</v>
      </c>
      <c r="E21" s="235" t="s">
        <v>2073</v>
      </c>
      <c r="F21" s="258">
        <f>'数据-取费表'!E26</f>
        <v>0.01</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22228</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5.9999999999999995E-4</v>
      </c>
      <c r="D24" s="1432" t="str">
        <f>IF(F23&lt;=1,"销售费用×利率×(建设周期÷2)","销售费用×((1+利率)^(建设周期÷2)-1)")</f>
        <v>销售费用×((1+利率)^(建设周期÷2)-1)</v>
      </c>
      <c r="E24" s="235" t="s">
        <v>2086</v>
      </c>
      <c r="F24" s="267">
        <f ca="1">'数据-取费表'!E27</f>
        <v>6.1500000000000006E-2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18072</v>
      </c>
      <c r="D26" s="259" t="s">
        <v>2094</v>
      </c>
      <c r="E26" s="246" t="s">
        <v>2095</v>
      </c>
      <c r="F26" s="245">
        <f>'数据-取费表'!E28</f>
        <v>0.05</v>
      </c>
      <c r="G26" s="652"/>
      <c r="H26" s="232" t="s">
        <v>23</v>
      </c>
      <c r="I26" s="233" t="s">
        <v>2096</v>
      </c>
      <c r="J26" s="234">
        <f ca="1">IF(J5&lt;&gt;0,ROUND(J25*(1-((1+M28)/(1+M26))^M27)/(M26-M28),0),0)</f>
        <v>0</v>
      </c>
      <c r="K26" s="261" t="s">
        <v>2097</v>
      </c>
      <c r="L26" s="235" t="s">
        <v>2098</v>
      </c>
      <c r="M26" s="245">
        <f>'数据-取费表'!B16</f>
        <v>0.05</v>
      </c>
    </row>
    <row r="27" spans="1:37" ht="18" customHeight="1">
      <c r="A27" s="253" t="s">
        <v>2099</v>
      </c>
      <c r="B27" s="235" t="s">
        <v>2100</v>
      </c>
      <c r="C27" s="13">
        <f>ROUND(F21*F26,4)</f>
        <v>5.0000000000000001E-4</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5.5E-2</v>
      </c>
      <c r="D28" s="259" t="s">
        <v>2106</v>
      </c>
      <c r="E28" s="235" t="s">
        <v>2066</v>
      </c>
      <c r="F28" s="258">
        <f>'数据-取费表'!E29</f>
        <v>5.5000000000000007E-2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430167</v>
      </c>
      <c r="D29" s="1105"/>
      <c r="E29" s="1103"/>
      <c r="F29" s="1106"/>
      <c r="G29" s="652"/>
      <c r="H29" s="271" t="s">
        <v>24</v>
      </c>
      <c r="I29" s="272" t="s">
        <v>2110</v>
      </c>
      <c r="J29" s="273">
        <f ca="1">ROUND(J26/(1+F40)^F41,0)</f>
        <v>0</v>
      </c>
      <c r="K29" s="274" t="s">
        <v>2111</v>
      </c>
      <c r="L29" s="275"/>
      <c r="M29" s="276">
        <f>IF(D1="仅计算典型户型",'数据-取费表'!E5,'数据-取费表'!B5)</f>
        <v>126.61</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5.5000000000000007E-2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23487</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0.05</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70</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126.61</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430167</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70</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2005</v>
      </c>
      <c r="K50" s="1536" t="s">
        <v>2162</v>
      </c>
      <c r="L50" s="1026"/>
      <c r="O50" s="1051" t="s">
        <v>954</v>
      </c>
      <c r="P50" s="1048" t="s">
        <v>2163</v>
      </c>
      <c r="Q50" s="1049">
        <f>J54</f>
        <v>70</v>
      </c>
      <c r="R50" s="1050" t="s">
        <v>2164</v>
      </c>
    </row>
    <row r="51" spans="1:18" s="652" customFormat="1" ht="15.75" thickBot="1">
      <c r="A51" s="237"/>
      <c r="B51" s="238"/>
      <c r="C51" s="239"/>
      <c r="D51" s="240"/>
      <c r="E51" s="255" t="s">
        <v>2018</v>
      </c>
      <c r="F51" s="985">
        <f>F7</f>
        <v>126.61</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-8</v>
      </c>
      <c r="K52" s="1538" t="s">
        <v>2168</v>
      </c>
      <c r="L52" s="1029">
        <f ca="1">ROUND(-PV('数据-取费表'!B15,J52,(C40-C13*J35)),0)</f>
        <v>216415</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70</v>
      </c>
      <c r="K54" s="3499" t="s">
        <v>2698</v>
      </c>
      <c r="L54" s="3500"/>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361340</v>
      </c>
      <c r="D57" s="983"/>
      <c r="E57" s="984"/>
      <c r="F57" s="991"/>
      <c r="I57" s="1546" t="s">
        <v>2177</v>
      </c>
      <c r="J57" s="1035"/>
      <c r="K57" s="1532" t="s">
        <v>2178</v>
      </c>
      <c r="L57" s="863">
        <f>IF(L49&lt;J52,"——",L49-J52)</f>
        <v>78</v>
      </c>
      <c r="O57" s="1051" t="s">
        <v>952</v>
      </c>
      <c r="P57" s="1048" t="s">
        <v>2179</v>
      </c>
      <c r="Q57" s="1052">
        <f>L53</f>
        <v>0</v>
      </c>
      <c r="R57" s="1050"/>
    </row>
    <row r="58" spans="1:18" s="652" customFormat="1" ht="29.25" thickBot="1">
      <c r="A58" s="990"/>
      <c r="B58" s="235" t="s">
        <v>2109</v>
      </c>
      <c r="C58" s="104">
        <f ca="1">C29</f>
        <v>430167</v>
      </c>
      <c r="D58" s="983"/>
      <c r="E58" s="984"/>
      <c r="F58" s="991"/>
      <c r="I58" s="1547" t="s">
        <v>2180</v>
      </c>
      <c r="J58" s="1034" t="str">
        <f>IF(OR(M48="住宅",J52&lt;L49,J57="是"),"——",J52-L49)</f>
        <v>——</v>
      </c>
      <c r="K58" s="1532" t="s">
        <v>2181</v>
      </c>
      <c r="L58" s="863">
        <f ca="1">IF(L49&lt;J52,"——",IF(L56="比较法",L50,IF(L56="基准地价",L51,L52)))</f>
        <v>216415</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5.5000000000000007E-2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216415</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-23487</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361340</v>
      </c>
      <c r="R68" s="1050" t="s">
        <v>2141</v>
      </c>
    </row>
    <row r="69" spans="1:18" ht="15.75" thickBot="1">
      <c r="A69" s="232" t="s">
        <v>23</v>
      </c>
      <c r="B69" s="233" t="s">
        <v>2129</v>
      </c>
      <c r="C69" s="234">
        <f ca="1">ROUND(C68*(1-((1+F71)/(1+F69))^F70)/(F69-F71),0)</f>
        <v>0</v>
      </c>
      <c r="D69" s="261" t="s">
        <v>2097</v>
      </c>
      <c r="E69" s="235" t="s">
        <v>2098</v>
      </c>
      <c r="F69" s="245">
        <f>F40</f>
        <v>0.05</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70</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126.61</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17" t="s">
        <v>1013</v>
      </c>
      <c r="B1" s="3518"/>
      <c r="C1" s="3519"/>
      <c r="D1" s="3520">
        <f>SUM(I10,I15,I20,I21,I23)</f>
        <v>0</v>
      </c>
      <c r="E1" s="3520"/>
      <c r="F1" s="3520"/>
      <c r="G1" s="3520"/>
      <c r="H1" s="3520"/>
      <c r="I1" s="3521"/>
    </row>
    <row r="2" spans="1:9">
      <c r="A2" s="3507" t="s">
        <v>1014</v>
      </c>
      <c r="B2" s="3508" t="s">
        <v>963</v>
      </c>
      <c r="C2" s="3508"/>
      <c r="D2" s="1062" t="s">
        <v>964</v>
      </c>
      <c r="E2" s="1062" t="s">
        <v>965</v>
      </c>
      <c r="F2" s="1062" t="s">
        <v>966</v>
      </c>
      <c r="G2" s="1062" t="s">
        <v>967</v>
      </c>
      <c r="H2" s="1062" t="s">
        <v>968</v>
      </c>
      <c r="I2" s="1063" t="s">
        <v>969</v>
      </c>
    </row>
    <row r="3" spans="1:9">
      <c r="A3" s="3507"/>
      <c r="B3" s="3508" t="s">
        <v>970</v>
      </c>
      <c r="C3" s="3508"/>
      <c r="D3" s="1064"/>
      <c r="E3" s="1062"/>
      <c r="F3" s="1065"/>
      <c r="G3" s="1065"/>
      <c r="H3" s="1066"/>
      <c r="I3" s="1067">
        <f>ROUND(D3*E3*F3*G3*H3/10000,0)</f>
        <v>0</v>
      </c>
    </row>
    <row r="4" spans="1:9">
      <c r="A4" s="3507"/>
      <c r="B4" s="3508" t="s">
        <v>971</v>
      </c>
      <c r="C4" s="3508"/>
      <c r="D4" s="1064"/>
      <c r="E4" s="1062"/>
      <c r="F4" s="1065"/>
      <c r="G4" s="1065"/>
      <c r="H4" s="1066"/>
      <c r="I4" s="1067">
        <f t="shared" ref="I4:I9" si="0">ROUND(D4*E4*F4*G4*H4/10000,0)</f>
        <v>0</v>
      </c>
    </row>
    <row r="5" spans="1:9">
      <c r="A5" s="3507"/>
      <c r="B5" s="3508" t="s">
        <v>972</v>
      </c>
      <c r="C5" s="3508"/>
      <c r="D5" s="1064"/>
      <c r="E5" s="1062"/>
      <c r="F5" s="1065"/>
      <c r="G5" s="1065"/>
      <c r="H5" s="1066"/>
      <c r="I5" s="1067">
        <f t="shared" si="0"/>
        <v>0</v>
      </c>
    </row>
    <row r="6" spans="1:9">
      <c r="A6" s="3507"/>
      <c r="B6" s="3508" t="s">
        <v>973</v>
      </c>
      <c r="C6" s="3508"/>
      <c r="D6" s="1064"/>
      <c r="E6" s="1062"/>
      <c r="F6" s="1065"/>
      <c r="G6" s="1065"/>
      <c r="H6" s="1066"/>
      <c r="I6" s="1067">
        <f t="shared" si="0"/>
        <v>0</v>
      </c>
    </row>
    <row r="7" spans="1:9">
      <c r="A7" s="3507"/>
      <c r="B7" s="3508" t="s">
        <v>974</v>
      </c>
      <c r="C7" s="3508"/>
      <c r="D7" s="1064"/>
      <c r="E7" s="1062"/>
      <c r="F7" s="1065"/>
      <c r="G7" s="1065"/>
      <c r="H7" s="1066"/>
      <c r="I7" s="1067">
        <f t="shared" si="0"/>
        <v>0</v>
      </c>
    </row>
    <row r="8" spans="1:9">
      <c r="A8" s="3507"/>
      <c r="B8" s="3508" t="s">
        <v>975</v>
      </c>
      <c r="C8" s="3508"/>
      <c r="D8" s="1064"/>
      <c r="E8" s="1062"/>
      <c r="F8" s="1065"/>
      <c r="G8" s="1065"/>
      <c r="H8" s="1066"/>
      <c r="I8" s="1067">
        <f t="shared" si="0"/>
        <v>0</v>
      </c>
    </row>
    <row r="9" spans="1:9">
      <c r="A9" s="3507"/>
      <c r="B9" s="3508" t="s">
        <v>976</v>
      </c>
      <c r="C9" s="3508"/>
      <c r="D9" s="1064"/>
      <c r="E9" s="1062"/>
      <c r="F9" s="1065"/>
      <c r="G9" s="1065"/>
      <c r="H9" s="1066"/>
      <c r="I9" s="1067">
        <f t="shared" si="0"/>
        <v>0</v>
      </c>
    </row>
    <row r="10" spans="1:9">
      <c r="A10" s="3507"/>
      <c r="B10" s="3509" t="s">
        <v>977</v>
      </c>
      <c r="C10" s="3509"/>
      <c r="D10" s="1068">
        <v>527</v>
      </c>
      <c r="E10" s="1068" t="e">
        <f>ROUND(D1*10000/D10/H9,0)</f>
        <v>#DIV/0!</v>
      </c>
      <c r="F10" s="1069"/>
      <c r="G10" s="1069"/>
      <c r="H10" s="1070"/>
      <c r="I10" s="1071">
        <f>SUM(I3:I9)</f>
        <v>0</v>
      </c>
    </row>
    <row r="11" spans="1:9" ht="14.25">
      <c r="A11" s="3507" t="s">
        <v>1015</v>
      </c>
      <c r="B11" s="3508" t="s">
        <v>978</v>
      </c>
      <c r="C11" s="3508"/>
      <c r="D11" s="1064" t="s">
        <v>979</v>
      </c>
      <c r="E11" s="1064" t="s">
        <v>980</v>
      </c>
      <c r="F11" s="1065" t="s">
        <v>981</v>
      </c>
      <c r="G11" s="1065" t="s">
        <v>968</v>
      </c>
      <c r="H11" s="1072" t="s">
        <v>982</v>
      </c>
      <c r="I11" s="1063" t="s">
        <v>969</v>
      </c>
    </row>
    <row r="12" spans="1:9">
      <c r="A12" s="3507"/>
      <c r="B12" s="3508" t="s">
        <v>983</v>
      </c>
      <c r="C12" s="3508"/>
      <c r="D12" s="1064"/>
      <c r="E12" s="1064"/>
      <c r="F12" s="1065"/>
      <c r="G12" s="1066"/>
      <c r="H12" s="1073"/>
      <c r="I12" s="1063">
        <f>ROUND(D12*E12*F12*G12/10000,0)</f>
        <v>0</v>
      </c>
    </row>
    <row r="13" spans="1:9">
      <c r="A13" s="3507"/>
      <c r="B13" s="3508" t="s">
        <v>984</v>
      </c>
      <c r="C13" s="3508"/>
      <c r="D13" s="1064"/>
      <c r="E13" s="1064"/>
      <c r="F13" s="1065"/>
      <c r="G13" s="1066"/>
      <c r="H13" s="1073"/>
      <c r="I13" s="1063">
        <f>ROUND(D13*E13*F13*G13/10000,0)</f>
        <v>0</v>
      </c>
    </row>
    <row r="14" spans="1:9">
      <c r="A14" s="3507"/>
      <c r="B14" s="3508" t="s">
        <v>985</v>
      </c>
      <c r="C14" s="3508"/>
      <c r="D14" s="1064"/>
      <c r="E14" s="1064"/>
      <c r="F14" s="1065"/>
      <c r="G14" s="1066"/>
      <c r="H14" s="1073"/>
      <c r="I14" s="1063">
        <f>ROUND(D14*E14*F14*G14/10000,0)</f>
        <v>0</v>
      </c>
    </row>
    <row r="15" spans="1:9">
      <c r="A15" s="3507"/>
      <c r="B15" s="3509" t="s">
        <v>977</v>
      </c>
      <c r="C15" s="3509"/>
      <c r="D15" s="1068"/>
      <c r="E15" s="1068">
        <f>SUM(E12:E14)</f>
        <v>0</v>
      </c>
      <c r="F15" s="1069"/>
      <c r="G15" s="1066"/>
      <c r="H15" s="1073"/>
      <c r="I15" s="1074">
        <f>SUM(I12:I14)</f>
        <v>0</v>
      </c>
    </row>
    <row r="16" spans="1:9" ht="24">
      <c r="A16" s="3507" t="s">
        <v>1016</v>
      </c>
      <c r="B16" s="3508" t="s">
        <v>986</v>
      </c>
      <c r="C16" s="3508"/>
      <c r="D16" s="1064" t="s">
        <v>964</v>
      </c>
      <c r="E16" s="1075" t="s">
        <v>987</v>
      </c>
      <c r="F16" s="1065" t="s">
        <v>988</v>
      </c>
      <c r="G16" s="1066" t="s">
        <v>968</v>
      </c>
      <c r="H16" s="1072" t="s">
        <v>982</v>
      </c>
      <c r="I16" s="1063" t="s">
        <v>969</v>
      </c>
    </row>
    <row r="17" spans="1:9" ht="14.25">
      <c r="A17" s="3507"/>
      <c r="B17" s="3508" t="s">
        <v>989</v>
      </c>
      <c r="C17" s="3508"/>
      <c r="D17" s="1064"/>
      <c r="E17" s="1064"/>
      <c r="F17" s="1065"/>
      <c r="G17" s="1066"/>
      <c r="H17" s="1076"/>
      <c r="I17" s="1077">
        <f>ROUND(D17*E17*F17*G17/10000,0)</f>
        <v>0</v>
      </c>
    </row>
    <row r="18" spans="1:9" ht="14.25">
      <c r="A18" s="3507"/>
      <c r="B18" s="3508" t="s">
        <v>990</v>
      </c>
      <c r="C18" s="3508"/>
      <c r="D18" s="1064"/>
      <c r="E18" s="1064"/>
      <c r="F18" s="1065"/>
      <c r="G18" s="1066"/>
      <c r="H18" s="1076"/>
      <c r="I18" s="1077">
        <f>ROUND(D18*E18*F18*G18/10000,0)</f>
        <v>0</v>
      </c>
    </row>
    <row r="19" spans="1:9" ht="14.25">
      <c r="A19" s="3507"/>
      <c r="B19" s="3508" t="s">
        <v>991</v>
      </c>
      <c r="C19" s="3508"/>
      <c r="D19" s="1064"/>
      <c r="E19" s="1064"/>
      <c r="F19" s="1065"/>
      <c r="G19" s="1066"/>
      <c r="H19" s="1076"/>
      <c r="I19" s="1077">
        <f>ROUND(D19*E19*F19*G19/10000,0)</f>
        <v>0</v>
      </c>
    </row>
    <row r="20" spans="1:9">
      <c r="A20" s="3507"/>
      <c r="B20" s="3509" t="s">
        <v>977</v>
      </c>
      <c r="C20" s="3509"/>
      <c r="D20" s="1068">
        <f>SUM(D17:D19)</f>
        <v>0</v>
      </c>
      <c r="E20" s="1068"/>
      <c r="F20" s="1069"/>
      <c r="G20" s="1066"/>
      <c r="H20" s="1073"/>
      <c r="I20" s="1074">
        <f>SUM(I17:I19)</f>
        <v>0</v>
      </c>
    </row>
    <row r="21" spans="1:9">
      <c r="A21" s="3507" t="s">
        <v>1017</v>
      </c>
      <c r="B21" s="3510"/>
      <c r="C21" s="3510"/>
      <c r="D21" s="3510"/>
      <c r="E21" s="3510"/>
      <c r="F21" s="3510"/>
      <c r="G21" s="3510"/>
      <c r="H21" s="1078">
        <v>0.1</v>
      </c>
      <c r="I21" s="1071">
        <f>ROUND(I10*H21,0)</f>
        <v>0</v>
      </c>
    </row>
    <row r="22" spans="1:9" ht="14.25">
      <c r="A22" s="3511" t="s">
        <v>1018</v>
      </c>
      <c r="B22" s="3512"/>
      <c r="C22" s="3513"/>
      <c r="D22" s="1079" t="s">
        <v>992</v>
      </c>
      <c r="E22" s="1079" t="s">
        <v>993</v>
      </c>
      <c r="F22" s="1080" t="s">
        <v>968</v>
      </c>
      <c r="G22" s="1080" t="s">
        <v>994</v>
      </c>
      <c r="H22" s="1072" t="s">
        <v>982</v>
      </c>
      <c r="I22" s="1063" t="s">
        <v>969</v>
      </c>
    </row>
    <row r="23" spans="1:9" ht="14.25" thickBot="1">
      <c r="A23" s="3514"/>
      <c r="B23" s="3515"/>
      <c r="C23" s="3516"/>
      <c r="D23" s="1081"/>
      <c r="E23" s="1081"/>
      <c r="F23" s="1081"/>
      <c r="G23" s="1082"/>
      <c r="H23" s="1083"/>
      <c r="I23" s="1084">
        <f>ROUND(E23*D23*F23*(1-G23)/10000,0)</f>
        <v>0</v>
      </c>
    </row>
    <row r="26" spans="1:9">
      <c r="A26" s="1085" t="s">
        <v>995</v>
      </c>
      <c r="B26" s="1085"/>
      <c r="C26" s="1085"/>
      <c r="D26" s="1085"/>
      <c r="E26" s="3504">
        <f>C27-C30-C31-C32</f>
        <v>0</v>
      </c>
      <c r="F26" s="3504"/>
      <c r="G26" s="3504"/>
      <c r="H26" s="1304" t="s">
        <v>1206</v>
      </c>
    </row>
    <row r="27" spans="1:9">
      <c r="A27" s="1086">
        <v>1</v>
      </c>
      <c r="B27" s="1087" t="s">
        <v>996</v>
      </c>
      <c r="C27" s="1087">
        <f>C28+C29</f>
        <v>0</v>
      </c>
      <c r="D27" s="1087"/>
      <c r="E27" s="3505"/>
      <c r="F27" s="3505"/>
      <c r="G27" s="3505"/>
    </row>
    <row r="28" spans="1:9">
      <c r="A28" s="1088" t="s">
        <v>997</v>
      </c>
      <c r="B28" s="1087" t="s">
        <v>998</v>
      </c>
      <c r="C28" s="1087"/>
      <c r="D28" s="1087"/>
      <c r="E28" s="3505"/>
      <c r="F28" s="3505"/>
      <c r="G28" s="350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6"/>
      <c r="F32" s="3506"/>
      <c r="G32" s="3506"/>
    </row>
    <row r="33" spans="1:7" hidden="1">
      <c r="A33" s="3501" t="s">
        <v>1007</v>
      </c>
      <c r="B33" s="3502"/>
      <c r="C33" s="3502"/>
      <c r="D33" s="3503"/>
      <c r="E33" s="3504"/>
      <c r="F33" s="3504"/>
      <c r="G33" s="3504"/>
    </row>
    <row r="34" spans="1:7" hidden="1">
      <c r="A34" s="1090">
        <v>1</v>
      </c>
      <c r="B34" s="1087" t="s">
        <v>1008</v>
      </c>
      <c r="C34" s="1087"/>
      <c r="D34" s="1087"/>
      <c r="E34" s="3505"/>
      <c r="F34" s="3505"/>
      <c r="G34" s="3505"/>
    </row>
    <row r="35" spans="1:7" hidden="1">
      <c r="A35" s="1090">
        <v>2</v>
      </c>
      <c r="B35" s="1087" t="s">
        <v>1009</v>
      </c>
      <c r="C35" s="1087"/>
      <c r="D35" s="1087"/>
      <c r="E35" s="3505"/>
      <c r="F35" s="3505"/>
      <c r="G35" s="3505"/>
    </row>
    <row r="36" spans="1:7" hidden="1">
      <c r="A36" s="1090">
        <v>3</v>
      </c>
      <c r="B36" s="1087" t="s">
        <v>1010</v>
      </c>
      <c r="C36" s="1087"/>
      <c r="D36" s="1087"/>
      <c r="E36" s="3505"/>
      <c r="F36" s="3505"/>
      <c r="G36" s="3505"/>
    </row>
    <row r="37" spans="1:7" hidden="1">
      <c r="A37" s="1090">
        <v>4</v>
      </c>
      <c r="B37" s="1087" t="s">
        <v>1011</v>
      </c>
      <c r="C37" s="1087"/>
      <c r="D37" s="1087"/>
      <c r="E37" s="3505"/>
      <c r="F37" s="3505"/>
      <c r="G37" s="3505"/>
    </row>
    <row r="38" spans="1:7" hidden="1">
      <c r="A38" s="3501" t="s">
        <v>1012</v>
      </c>
      <c r="B38" s="3502"/>
      <c r="C38" s="3502"/>
      <c r="D38" s="3503"/>
      <c r="E38" s="3504"/>
      <c r="F38" s="3504"/>
      <c r="G38" s="35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5" t="s">
        <v>2214</v>
      </c>
      <c r="D4" s="3526"/>
      <c r="E4" s="3526"/>
      <c r="F4" s="3526"/>
      <c r="G4" s="3526"/>
      <c r="H4" s="3526"/>
      <c r="I4" s="3526"/>
      <c r="J4" s="3526"/>
      <c r="K4" s="3526"/>
      <c r="L4" s="3526"/>
      <c r="M4" s="3526"/>
      <c r="N4" s="3526"/>
      <c r="O4" s="3526"/>
      <c r="P4" s="3526"/>
      <c r="Q4" s="3526"/>
      <c r="R4" s="3526"/>
      <c r="S4" s="3527"/>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2" t="s">
        <v>45</v>
      </c>
      <c r="D25" s="3523"/>
      <c r="E25" s="3523"/>
      <c r="F25" s="3523"/>
      <c r="G25" s="3523"/>
      <c r="H25" s="3523"/>
      <c r="I25" s="3523"/>
      <c r="J25" s="3523"/>
      <c r="K25" s="3523"/>
      <c r="L25" s="3523"/>
      <c r="M25" s="3523"/>
      <c r="N25" s="3523"/>
      <c r="O25" s="3523"/>
      <c r="P25" s="3523"/>
      <c r="Q25" s="3524"/>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0" zoomScale="80" zoomScaleNormal="70" zoomScaleSheetLayoutView="80" workbookViewId="0">
      <selection activeCell="L23" sqref="L23"/>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2621713</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20707</v>
      </c>
      <c r="C3" s="1659" t="s">
        <v>2246</v>
      </c>
      <c r="D3" s="1659">
        <f>IF(C1="仅计算典型户型",'数据-取费表'!E5,'数据-取费表'!B5)</f>
        <v>126.61</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61" t="s">
        <v>2248</v>
      </c>
      <c r="D4" s="3562"/>
      <c r="E4" s="3563" t="s">
        <v>2249</v>
      </c>
      <c r="F4" s="3564"/>
      <c r="G4" s="3561" t="s">
        <v>2250</v>
      </c>
      <c r="H4" s="3562"/>
      <c r="I4" s="3561" t="s">
        <v>2251</v>
      </c>
      <c r="J4" s="3562"/>
      <c r="K4" s="1664" t="s">
        <v>2252</v>
      </c>
      <c r="L4" s="2991"/>
      <c r="M4" s="2992"/>
      <c r="N4" s="2992"/>
      <c r="O4" s="2992"/>
      <c r="P4" s="3565" t="s">
        <v>2253</v>
      </c>
      <c r="Q4" s="3566"/>
      <c r="R4" s="3550" t="s">
        <v>2249</v>
      </c>
      <c r="S4" s="3551"/>
      <c r="T4" s="3550" t="s">
        <v>2250</v>
      </c>
      <c r="U4" s="3551"/>
      <c r="V4" s="3571" t="s">
        <v>2251</v>
      </c>
      <c r="W4" s="3571"/>
      <c r="X4" s="1665"/>
      <c r="Y4" s="3550" t="s">
        <v>2253</v>
      </c>
      <c r="Z4" s="3551"/>
      <c r="AA4" s="3558" t="s">
        <v>2249</v>
      </c>
      <c r="AB4" s="3558" t="s">
        <v>2250</v>
      </c>
      <c r="AC4" s="3558" t="s">
        <v>2251</v>
      </c>
    </row>
    <row r="5" spans="1:29" ht="15">
      <c r="A5" s="1667"/>
      <c r="B5" s="1668"/>
      <c r="C5" s="3572" t="s">
        <v>2254</v>
      </c>
      <c r="D5" s="3547"/>
      <c r="E5" s="3546" t="s">
        <v>3138</v>
      </c>
      <c r="F5" s="3547"/>
      <c r="G5" s="3546" t="s">
        <v>3137</v>
      </c>
      <c r="H5" s="3547"/>
      <c r="I5" s="3546" t="s">
        <v>3119</v>
      </c>
      <c r="J5" s="3547"/>
      <c r="K5" s="1669"/>
      <c r="L5" s="2991"/>
      <c r="M5" s="2992"/>
      <c r="N5" s="2992"/>
      <c r="O5" s="2992"/>
      <c r="P5" s="3567"/>
      <c r="Q5" s="3568"/>
      <c r="R5" s="3552"/>
      <c r="S5" s="3553"/>
      <c r="T5" s="3552"/>
      <c r="U5" s="3553"/>
      <c r="V5" s="3571"/>
      <c r="W5" s="3571"/>
      <c r="X5" s="1665"/>
      <c r="Y5" s="3552"/>
      <c r="Z5" s="3553"/>
      <c r="AA5" s="3559"/>
      <c r="AB5" s="3559"/>
      <c r="AC5" s="3559"/>
    </row>
    <row r="6" spans="1:29" ht="15.75" thickBot="1">
      <c r="A6" s="1670"/>
      <c r="B6" s="1671"/>
      <c r="C6" s="3544" t="s">
        <v>2258</v>
      </c>
      <c r="D6" s="3545"/>
      <c r="E6" s="3573" t="s">
        <v>2258</v>
      </c>
      <c r="F6" s="3574"/>
      <c r="G6" s="3544" t="s">
        <v>2258</v>
      </c>
      <c r="H6" s="3545"/>
      <c r="I6" s="3544" t="s">
        <v>2258</v>
      </c>
      <c r="J6" s="3545"/>
      <c r="K6" s="1669" t="s">
        <v>2259</v>
      </c>
      <c r="L6" s="2991"/>
      <c r="M6" s="2992"/>
      <c r="N6" s="2992"/>
      <c r="O6" s="2992"/>
      <c r="P6" s="3569"/>
      <c r="Q6" s="3570"/>
      <c r="R6" s="3552"/>
      <c r="S6" s="3553"/>
      <c r="T6" s="3554"/>
      <c r="U6" s="3555"/>
      <c r="V6" s="3571"/>
      <c r="W6" s="3571"/>
      <c r="X6" s="1665"/>
      <c r="Y6" s="3554"/>
      <c r="Z6" s="3555"/>
      <c r="AA6" s="3560"/>
      <c r="AB6" s="3560"/>
      <c r="AC6" s="3560"/>
    </row>
    <row r="7" spans="1:29" s="1684" customFormat="1" ht="15.75" thickBot="1">
      <c r="A7" s="1672" t="s">
        <v>2260</v>
      </c>
      <c r="B7" s="1673"/>
      <c r="C7" s="1674">
        <f>'数据-取费表'!B2</f>
        <v>41443</v>
      </c>
      <c r="D7" s="1675">
        <v>100</v>
      </c>
      <c r="E7" s="1676">
        <v>41247</v>
      </c>
      <c r="F7" s="1677">
        <f>SUMIF(58:58,YEAR(E7)&amp;"-"&amp;MONTH(E7),59:59)</f>
        <v>99</v>
      </c>
      <c r="G7" s="1676">
        <v>41346</v>
      </c>
      <c r="H7" s="1675">
        <f>SUMIF(58:58,YEAR(G7)&amp;"-"&amp;MONTH(G7),59:59)</f>
        <v>99.5</v>
      </c>
      <c r="I7" s="1676">
        <v>41376</v>
      </c>
      <c r="J7" s="1675">
        <f>SUMIF(58:58,YEAR(I7)&amp;"-"&amp;MONTH(I7),59:59)</f>
        <v>100</v>
      </c>
      <c r="K7" s="1678"/>
      <c r="L7" s="2991"/>
      <c r="M7" s="2964"/>
      <c r="N7" s="2964"/>
      <c r="O7" s="2964"/>
      <c r="P7" s="3548" t="s">
        <v>2261</v>
      </c>
      <c r="Q7" s="3556"/>
      <c r="R7" s="1680" t="s">
        <v>34</v>
      </c>
      <c r="S7" s="1681">
        <f t="shared" ref="S7:S15" si="0">F7</f>
        <v>99</v>
      </c>
      <c r="T7" s="1680" t="s">
        <v>34</v>
      </c>
      <c r="U7" s="1681">
        <f t="shared" ref="U7:U15" si="1">H7</f>
        <v>99.5</v>
      </c>
      <c r="V7" s="1680" t="s">
        <v>34</v>
      </c>
      <c r="W7" s="1681">
        <f t="shared" ref="W7:W15" si="2">J7</f>
        <v>100</v>
      </c>
      <c r="X7" s="1682"/>
      <c r="Y7" s="3548" t="s">
        <v>2261</v>
      </c>
      <c r="Z7" s="3549"/>
      <c r="AA7" s="1683">
        <f>D7/F7</f>
        <v>1.0101010101010102</v>
      </c>
      <c r="AB7" s="1683">
        <f>D7/H7</f>
        <v>1.0050251256281406</v>
      </c>
      <c r="AC7" s="1683">
        <f>D7/J7</f>
        <v>1</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48" t="s">
        <v>2264</v>
      </c>
      <c r="Q8" s="3549"/>
      <c r="R8" s="1680" t="s">
        <v>34</v>
      </c>
      <c r="S8" s="1681">
        <f t="shared" si="0"/>
        <v>100</v>
      </c>
      <c r="T8" s="1680" t="s">
        <v>34</v>
      </c>
      <c r="U8" s="1681">
        <f t="shared" si="1"/>
        <v>100</v>
      </c>
      <c r="V8" s="1680" t="s">
        <v>34</v>
      </c>
      <c r="W8" s="1681">
        <f t="shared" si="2"/>
        <v>100</v>
      </c>
      <c r="X8" s="1682"/>
      <c r="Y8" s="3548" t="s">
        <v>2264</v>
      </c>
      <c r="Z8" s="3549"/>
      <c r="AA8" s="1683">
        <f t="shared" ref="AA8:AA46" si="3">D8/F8</f>
        <v>1</v>
      </c>
      <c r="AB8" s="1683">
        <f t="shared" ref="AB8:AB46" si="4">D8/H8</f>
        <v>1</v>
      </c>
      <c r="AC8" s="1683">
        <f t="shared" ref="AC8:AC46" si="5">D8/J8</f>
        <v>1</v>
      </c>
    </row>
    <row r="9" spans="1:29" s="1684" customFormat="1">
      <c r="A9" s="1635" t="s">
        <v>2265</v>
      </c>
      <c r="B9" s="1686" t="s">
        <v>2266</v>
      </c>
      <c r="C9" s="3145" t="s">
        <v>2902</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57" t="s">
        <v>2267</v>
      </c>
      <c r="Q9" s="1634" t="str">
        <f t="shared" ref="Q9:Q15" si="6">B9</f>
        <v>用途</v>
      </c>
      <c r="R9" s="1680" t="s">
        <v>25</v>
      </c>
      <c r="S9" s="1681">
        <f t="shared" si="0"/>
        <v>100</v>
      </c>
      <c r="T9" s="1680" t="s">
        <v>25</v>
      </c>
      <c r="U9" s="1681">
        <f t="shared" si="1"/>
        <v>100</v>
      </c>
      <c r="V9" s="1680" t="s">
        <v>25</v>
      </c>
      <c r="W9" s="1681">
        <f t="shared" si="2"/>
        <v>100</v>
      </c>
      <c r="X9" s="1682"/>
      <c r="Y9" s="3367" t="s">
        <v>2268</v>
      </c>
      <c r="Z9" s="1692" t="str">
        <f t="shared" ref="Z9:Z15" si="7">Q9</f>
        <v>用途</v>
      </c>
      <c r="AA9" s="1683">
        <f t="shared" si="3"/>
        <v>1</v>
      </c>
      <c r="AB9" s="1683">
        <f t="shared" si="4"/>
        <v>1</v>
      </c>
      <c r="AC9" s="1683">
        <f t="shared" si="5"/>
        <v>1</v>
      </c>
    </row>
    <row r="10" spans="1:29" s="1700" customFormat="1" ht="27">
      <c r="A10" s="1693"/>
      <c r="B10" s="1694" t="s">
        <v>2269</v>
      </c>
      <c r="C10" s="1695" t="s">
        <v>3134</v>
      </c>
      <c r="D10" s="1696">
        <v>100</v>
      </c>
      <c r="E10" s="1697" t="s">
        <v>3134</v>
      </c>
      <c r="F10" s="1698">
        <f>SUMIF(65:65,E10,66:66)-SUMIF(65:65,C10,66:66)+100</f>
        <v>100</v>
      </c>
      <c r="G10" s="1695" t="s">
        <v>3134</v>
      </c>
      <c r="H10" s="1696">
        <f>SUMIF(65:65,G10,66:66)-SUMIF(65:65,C10,66:66)+100</f>
        <v>100</v>
      </c>
      <c r="I10" s="1695" t="s">
        <v>3134</v>
      </c>
      <c r="J10" s="1696">
        <f>SUMIF(65:65,I10,66:66)-SUMIF(65:65,C10,66:66)+100</f>
        <v>100</v>
      </c>
      <c r="K10" s="1699">
        <v>2</v>
      </c>
      <c r="L10" s="2993"/>
      <c r="M10" s="2994"/>
      <c r="N10" s="2994"/>
      <c r="O10" s="2994"/>
      <c r="P10" s="3557"/>
      <c r="Q10" s="1634" t="str">
        <f t="shared" si="6"/>
        <v>土地使用年限（年）</v>
      </c>
      <c r="R10" s="1680" t="s">
        <v>25</v>
      </c>
      <c r="S10" s="1681">
        <f t="shared" si="0"/>
        <v>100</v>
      </c>
      <c r="T10" s="1680" t="s">
        <v>25</v>
      </c>
      <c r="U10" s="1681">
        <f t="shared" si="1"/>
        <v>100</v>
      </c>
      <c r="V10" s="1680" t="s">
        <v>25</v>
      </c>
      <c r="W10" s="1681">
        <f t="shared" si="2"/>
        <v>100</v>
      </c>
      <c r="X10" s="1682"/>
      <c r="Y10" s="3367"/>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57"/>
      <c r="Q11" s="1634" t="str">
        <f t="shared" si="6"/>
        <v>容积率</v>
      </c>
      <c r="R11" s="1680" t="s">
        <v>28</v>
      </c>
      <c r="S11" s="1681">
        <f t="shared" si="0"/>
        <v>100</v>
      </c>
      <c r="T11" s="1680" t="s">
        <v>28</v>
      </c>
      <c r="U11" s="1681">
        <f t="shared" si="1"/>
        <v>100</v>
      </c>
      <c r="V11" s="1680" t="s">
        <v>28</v>
      </c>
      <c r="W11" s="1681">
        <f t="shared" si="2"/>
        <v>100</v>
      </c>
      <c r="X11" s="1682"/>
      <c r="Y11" s="3367"/>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57"/>
      <c r="Q12" s="1634">
        <f t="shared" si="6"/>
        <v>111</v>
      </c>
      <c r="R12" s="1680" t="s">
        <v>28</v>
      </c>
      <c r="S12" s="1681">
        <f t="shared" si="0"/>
        <v>100</v>
      </c>
      <c r="T12" s="1680" t="s">
        <v>28</v>
      </c>
      <c r="U12" s="1681">
        <f t="shared" si="1"/>
        <v>100</v>
      </c>
      <c r="V12" s="1680" t="s">
        <v>28</v>
      </c>
      <c r="W12" s="1681">
        <f t="shared" si="2"/>
        <v>100</v>
      </c>
      <c r="X12" s="1682"/>
      <c r="Y12" s="3367"/>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57"/>
      <c r="Q13" s="1634">
        <f t="shared" si="6"/>
        <v>111</v>
      </c>
      <c r="R13" s="1680" t="s">
        <v>28</v>
      </c>
      <c r="S13" s="1681">
        <f t="shared" si="0"/>
        <v>100</v>
      </c>
      <c r="T13" s="1680" t="s">
        <v>28</v>
      </c>
      <c r="U13" s="1681">
        <f t="shared" si="1"/>
        <v>100</v>
      </c>
      <c r="V13" s="1680" t="s">
        <v>28</v>
      </c>
      <c r="W13" s="1681">
        <f t="shared" si="2"/>
        <v>100</v>
      </c>
      <c r="X13" s="1682"/>
      <c r="Y13" s="3367"/>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57"/>
      <c r="Q14" s="1634">
        <f t="shared" si="6"/>
        <v>111</v>
      </c>
      <c r="R14" s="1680" t="s">
        <v>28</v>
      </c>
      <c r="S14" s="1681">
        <f t="shared" si="0"/>
        <v>100</v>
      </c>
      <c r="T14" s="1680" t="s">
        <v>28</v>
      </c>
      <c r="U14" s="1681">
        <f t="shared" si="1"/>
        <v>100</v>
      </c>
      <c r="V14" s="1680" t="s">
        <v>28</v>
      </c>
      <c r="W14" s="1681">
        <f t="shared" si="2"/>
        <v>100</v>
      </c>
      <c r="X14" s="1682"/>
      <c r="Y14" s="3367"/>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35" t="s">
        <v>2272</v>
      </c>
      <c r="Q15" s="1615" t="str">
        <f t="shared" si="6"/>
        <v>居住社区成熟度</v>
      </c>
      <c r="R15" s="1724" t="s">
        <v>28</v>
      </c>
      <c r="S15" s="1725">
        <f t="shared" si="0"/>
        <v>100</v>
      </c>
      <c r="T15" s="1724" t="s">
        <v>28</v>
      </c>
      <c r="U15" s="1725">
        <f t="shared" si="1"/>
        <v>100</v>
      </c>
      <c r="V15" s="1724" t="s">
        <v>28</v>
      </c>
      <c r="W15" s="1725">
        <f t="shared" si="2"/>
        <v>100</v>
      </c>
      <c r="X15" s="1665"/>
      <c r="Y15" s="3537"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36"/>
      <c r="Q16" s="1615"/>
      <c r="R16" s="1724"/>
      <c r="S16" s="1725"/>
      <c r="T16" s="1724"/>
      <c r="U16" s="1725"/>
      <c r="V16" s="1724"/>
      <c r="W16" s="1725"/>
      <c r="X16" s="1665"/>
      <c r="Y16" s="3538"/>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36"/>
      <c r="Q17" s="1615" t="str">
        <f>B17</f>
        <v>交通便捷度</v>
      </c>
      <c r="R17" s="1724" t="s">
        <v>28</v>
      </c>
      <c r="S17" s="1725">
        <f>F17</f>
        <v>100</v>
      </c>
      <c r="T17" s="1724" t="s">
        <v>28</v>
      </c>
      <c r="U17" s="1725">
        <f>H17</f>
        <v>100</v>
      </c>
      <c r="V17" s="1724" t="s">
        <v>28</v>
      </c>
      <c r="W17" s="1725">
        <f>J17</f>
        <v>100</v>
      </c>
      <c r="X17" s="1665"/>
      <c r="Y17" s="3538"/>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36"/>
      <c r="Q18" s="1615"/>
      <c r="R18" s="1724"/>
      <c r="S18" s="1725"/>
      <c r="T18" s="1724"/>
      <c r="U18" s="1725"/>
      <c r="V18" s="1724"/>
      <c r="W18" s="1725"/>
      <c r="X18" s="1665"/>
      <c r="Y18" s="3538"/>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36"/>
      <c r="Q19" s="1615" t="str">
        <f>B19</f>
        <v>公共配套设施</v>
      </c>
      <c r="R19" s="1724" t="s">
        <v>28</v>
      </c>
      <c r="S19" s="1725">
        <f>F19</f>
        <v>100</v>
      </c>
      <c r="T19" s="1724" t="s">
        <v>28</v>
      </c>
      <c r="U19" s="1725">
        <f>H19</f>
        <v>100</v>
      </c>
      <c r="V19" s="1724" t="s">
        <v>28</v>
      </c>
      <c r="W19" s="1725">
        <f>J19</f>
        <v>100</v>
      </c>
      <c r="X19" s="1665"/>
      <c r="Y19" s="3538"/>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36"/>
      <c r="Q20" s="1615"/>
      <c r="R20" s="1724"/>
      <c r="S20" s="1725"/>
      <c r="T20" s="1724"/>
      <c r="U20" s="1725"/>
      <c r="V20" s="1724"/>
      <c r="W20" s="1725"/>
      <c r="X20" s="1665"/>
      <c r="Y20" s="3538"/>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36"/>
      <c r="Q21" s="1615" t="str">
        <f>B21</f>
        <v>基础设施水平</v>
      </c>
      <c r="R21" s="1724" t="s">
        <v>28</v>
      </c>
      <c r="S21" s="1725">
        <f>F21</f>
        <v>100</v>
      </c>
      <c r="T21" s="1724" t="s">
        <v>28</v>
      </c>
      <c r="U21" s="1725">
        <f>H21</f>
        <v>100</v>
      </c>
      <c r="V21" s="1724" t="s">
        <v>28</v>
      </c>
      <c r="W21" s="1725">
        <f>J21</f>
        <v>100</v>
      </c>
      <c r="X21" s="1665"/>
      <c r="Y21" s="3538"/>
      <c r="Z21" s="1726" t="str">
        <f>Q21</f>
        <v>基础设施水平</v>
      </c>
      <c r="AA21" s="1727">
        <f t="shared" ref="AA21" si="8">D21/F21</f>
        <v>1</v>
      </c>
      <c r="AB21" s="1727">
        <f t="shared" ref="AB21" si="9">D21/H21</f>
        <v>1</v>
      </c>
      <c r="AC21" s="1727">
        <f t="shared" ref="AC21" si="10">D21/J21</f>
        <v>1</v>
      </c>
    </row>
    <row r="22" spans="1:29" ht="15">
      <c r="A22" s="1701"/>
      <c r="B22" s="1749"/>
      <c r="C22" s="1743" t="s">
        <v>3140</v>
      </c>
      <c r="D22" s="1730"/>
      <c r="E22" s="1743" t="s">
        <v>3140</v>
      </c>
      <c r="F22" s="1732"/>
      <c r="G22" s="1743" t="s">
        <v>3140</v>
      </c>
      <c r="H22" s="1730"/>
      <c r="I22" s="1743" t="s">
        <v>3140</v>
      </c>
      <c r="J22" s="1730"/>
      <c r="K22" s="1750"/>
      <c r="L22" s="2996"/>
      <c r="M22" s="2992"/>
      <c r="N22" s="2992"/>
      <c r="O22" s="2992"/>
      <c r="P22" s="3536"/>
      <c r="Q22" s="1615"/>
      <c r="R22" s="1724"/>
      <c r="S22" s="1725"/>
      <c r="T22" s="1724"/>
      <c r="U22" s="1725"/>
      <c r="V22" s="1724"/>
      <c r="W22" s="1725"/>
      <c r="X22" s="1665"/>
      <c r="Y22" s="3538"/>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36"/>
      <c r="Q23" s="1615" t="str">
        <f>B23</f>
        <v>自然及人文环境</v>
      </c>
      <c r="R23" s="1724" t="s">
        <v>28</v>
      </c>
      <c r="S23" s="1725">
        <f>F23</f>
        <v>100</v>
      </c>
      <c r="T23" s="1724" t="s">
        <v>28</v>
      </c>
      <c r="U23" s="1725">
        <f>H23</f>
        <v>100</v>
      </c>
      <c r="V23" s="1724" t="s">
        <v>28</v>
      </c>
      <c r="W23" s="1725">
        <f>J23</f>
        <v>100</v>
      </c>
      <c r="X23" s="1665"/>
      <c r="Y23" s="3538"/>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36"/>
      <c r="Q24" s="1615"/>
      <c r="R24" s="1724"/>
      <c r="S24" s="1725"/>
      <c r="T24" s="1724"/>
      <c r="U24" s="1725"/>
      <c r="V24" s="1724"/>
      <c r="W24" s="1725"/>
      <c r="X24" s="1665"/>
      <c r="Y24" s="3538"/>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36"/>
      <c r="Q25" s="1615" t="str">
        <f t="shared" ref="Q25:Q46" si="11">B25</f>
        <v>楼层-1</v>
      </c>
      <c r="R25" s="1724" t="s">
        <v>28</v>
      </c>
      <c r="S25" s="1725">
        <f>F25</f>
        <v>100</v>
      </c>
      <c r="T25" s="1724" t="s">
        <v>28</v>
      </c>
      <c r="U25" s="1725">
        <f>H25</f>
        <v>100</v>
      </c>
      <c r="V25" s="1724" t="s">
        <v>28</v>
      </c>
      <c r="W25" s="1725">
        <f>J25</f>
        <v>100</v>
      </c>
      <c r="X25" s="1665"/>
      <c r="Y25" s="3538"/>
      <c r="Z25" s="1726" t="str">
        <f>Q25</f>
        <v>楼层-1</v>
      </c>
      <c r="AA25" s="1727">
        <f t="shared" si="3"/>
        <v>1</v>
      </c>
      <c r="AB25" s="1727">
        <f t="shared" si="4"/>
        <v>1</v>
      </c>
      <c r="AC25" s="1727">
        <f t="shared" si="5"/>
        <v>1</v>
      </c>
    </row>
    <row r="26" spans="1:29" ht="15">
      <c r="A26" s="1701"/>
      <c r="B26" s="1694" t="s">
        <v>2917</v>
      </c>
      <c r="C26" s="1751" t="s">
        <v>3121</v>
      </c>
      <c r="D26" s="1710">
        <v>100</v>
      </c>
      <c r="E26" s="1751" t="s">
        <v>3121</v>
      </c>
      <c r="F26" s="1710">
        <f>SUMIF(88:88,E26,89:89)-SUMIF(88:88,C26,89:89)+100</f>
        <v>100</v>
      </c>
      <c r="G26" s="1751" t="s">
        <v>3121</v>
      </c>
      <c r="H26" s="1710">
        <f>SUMIF(88:88,G26,89:89)-SUMIF(88:88,C26,89:89)+100</f>
        <v>100</v>
      </c>
      <c r="I26" s="1751" t="s">
        <v>3121</v>
      </c>
      <c r="J26" s="1710">
        <f>SUMIF(88:88,I26,89:89)-SUMIF(88:88,C26,89:89)+100</f>
        <v>100</v>
      </c>
      <c r="K26" s="1699">
        <v>3</v>
      </c>
      <c r="L26" s="2996"/>
      <c r="M26" s="2992"/>
      <c r="N26" s="2992"/>
      <c r="O26" s="2992"/>
      <c r="P26" s="3536"/>
      <c r="Q26" s="1615" t="str">
        <f t="shared" si="11"/>
        <v>朝向</v>
      </c>
      <c r="R26" s="1724" t="s">
        <v>28</v>
      </c>
      <c r="S26" s="1725">
        <f>F26</f>
        <v>100</v>
      </c>
      <c r="T26" s="1724" t="s">
        <v>28</v>
      </c>
      <c r="U26" s="1725">
        <f>H26</f>
        <v>100</v>
      </c>
      <c r="V26" s="1724" t="s">
        <v>28</v>
      </c>
      <c r="W26" s="1725">
        <f>J26</f>
        <v>100</v>
      </c>
      <c r="X26" s="1665"/>
      <c r="Y26" s="3538"/>
      <c r="Z26" s="1726" t="str">
        <f>Q26</f>
        <v>朝向</v>
      </c>
      <c r="AA26" s="1727">
        <f t="shared" si="3"/>
        <v>1</v>
      </c>
      <c r="AB26" s="1727">
        <f t="shared" si="4"/>
        <v>1</v>
      </c>
      <c r="AC26" s="1727">
        <f t="shared" si="5"/>
        <v>1</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36"/>
      <c r="Q27" s="1634" t="str">
        <f t="shared" si="11"/>
        <v>道路级别</v>
      </c>
      <c r="R27" s="1680" t="s">
        <v>28</v>
      </c>
      <c r="S27" s="1681">
        <f>F27</f>
        <v>100</v>
      </c>
      <c r="T27" s="1680" t="s">
        <v>28</v>
      </c>
      <c r="U27" s="1681">
        <f>H27</f>
        <v>100</v>
      </c>
      <c r="V27" s="1680" t="s">
        <v>28</v>
      </c>
      <c r="W27" s="1681">
        <f>J27</f>
        <v>100</v>
      </c>
      <c r="X27" s="1682"/>
      <c r="Y27" s="3538"/>
      <c r="Z27" s="1692" t="str">
        <f>Q27</f>
        <v>道路级别</v>
      </c>
      <c r="AA27" s="1727">
        <f>D27/F27</f>
        <v>1</v>
      </c>
      <c r="AB27" s="1727">
        <f>D27/H27</f>
        <v>1</v>
      </c>
      <c r="AC27" s="1727">
        <f>D27/J27</f>
        <v>1</v>
      </c>
    </row>
    <row r="28" spans="1:29" ht="15">
      <c r="A28" s="1701"/>
      <c r="B28" s="3149" t="s">
        <v>2910</v>
      </c>
      <c r="C28" s="3150">
        <v>6</v>
      </c>
      <c r="D28" s="1710">
        <v>100</v>
      </c>
      <c r="E28" s="3150">
        <v>5</v>
      </c>
      <c r="F28" s="1753">
        <f>SUMIF(92:92,E28,93:93)-SUMIF(92:92,C28,93:93)+100</f>
        <v>101</v>
      </c>
      <c r="G28" s="3150">
        <v>2</v>
      </c>
      <c r="H28" s="1710">
        <f>SUMIF(92:92,G28,93:93)-SUMIF(92:92,C28,93:93)+100</f>
        <v>102</v>
      </c>
      <c r="I28" s="3150">
        <v>5</v>
      </c>
      <c r="J28" s="1710">
        <f>SUMIF(92:92,I28,93:93)-SUMIF(92:92,C28,93:93)+100</f>
        <v>101</v>
      </c>
      <c r="K28" s="1708"/>
      <c r="L28" s="2996"/>
      <c r="M28" s="2992"/>
      <c r="N28" s="2992"/>
      <c r="O28" s="2992"/>
      <c r="P28" s="3536"/>
      <c r="Q28" s="1615" t="str">
        <f t="shared" si="11"/>
        <v>楼层范围</v>
      </c>
      <c r="R28" s="1724" t="s">
        <v>28</v>
      </c>
      <c r="S28" s="1725">
        <f t="shared" ref="S28:S46" si="12">F28</f>
        <v>101</v>
      </c>
      <c r="T28" s="1724" t="s">
        <v>28</v>
      </c>
      <c r="U28" s="1725">
        <f t="shared" ref="U28:U46" si="13">H28</f>
        <v>102</v>
      </c>
      <c r="V28" s="1724" t="s">
        <v>28</v>
      </c>
      <c r="W28" s="1725">
        <f t="shared" ref="W28:W46" si="14">J28</f>
        <v>101</v>
      </c>
      <c r="X28" s="1665"/>
      <c r="Y28" s="3538"/>
      <c r="Z28" s="1726" t="str">
        <f t="shared" ref="Z28:Z46" si="15">Q28</f>
        <v>楼层范围</v>
      </c>
      <c r="AA28" s="1727">
        <f t="shared" si="3"/>
        <v>0.99009900990099009</v>
      </c>
      <c r="AB28" s="1727">
        <f t="shared" si="4"/>
        <v>0.98039215686274506</v>
      </c>
      <c r="AC28" s="1727">
        <f t="shared" si="5"/>
        <v>0.99009900990099009</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36"/>
      <c r="Q29" s="1615">
        <f t="shared" si="11"/>
        <v>111</v>
      </c>
      <c r="R29" s="1724" t="s">
        <v>28</v>
      </c>
      <c r="S29" s="1725">
        <f t="shared" si="12"/>
        <v>100</v>
      </c>
      <c r="T29" s="1724" t="s">
        <v>28</v>
      </c>
      <c r="U29" s="1725">
        <f t="shared" si="13"/>
        <v>100</v>
      </c>
      <c r="V29" s="1724" t="s">
        <v>28</v>
      </c>
      <c r="W29" s="1725">
        <f t="shared" si="14"/>
        <v>100</v>
      </c>
      <c r="X29" s="1665"/>
      <c r="Y29" s="3538"/>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36"/>
      <c r="Q30" s="1615">
        <f t="shared" si="11"/>
        <v>111</v>
      </c>
      <c r="R30" s="1724" t="s">
        <v>28</v>
      </c>
      <c r="S30" s="1725">
        <f t="shared" si="12"/>
        <v>100</v>
      </c>
      <c r="T30" s="1724" t="s">
        <v>28</v>
      </c>
      <c r="U30" s="1725">
        <f t="shared" si="13"/>
        <v>100</v>
      </c>
      <c r="V30" s="1724" t="s">
        <v>28</v>
      </c>
      <c r="W30" s="1725">
        <f t="shared" si="14"/>
        <v>100</v>
      </c>
      <c r="X30" s="1665"/>
      <c r="Y30" s="3538"/>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36"/>
      <c r="Q31" s="1615">
        <f t="shared" si="11"/>
        <v>111</v>
      </c>
      <c r="R31" s="1724" t="s">
        <v>28</v>
      </c>
      <c r="S31" s="1725">
        <f t="shared" si="12"/>
        <v>100</v>
      </c>
      <c r="T31" s="1724" t="s">
        <v>28</v>
      </c>
      <c r="U31" s="1725">
        <f t="shared" si="13"/>
        <v>100</v>
      </c>
      <c r="V31" s="1724" t="s">
        <v>28</v>
      </c>
      <c r="W31" s="1725">
        <f t="shared" si="14"/>
        <v>100</v>
      </c>
      <c r="X31" s="1665"/>
      <c r="Y31" s="3538"/>
      <c r="Z31" s="1726">
        <f t="shared" si="15"/>
        <v>111</v>
      </c>
      <c r="AA31" s="1727">
        <f t="shared" si="3"/>
        <v>1</v>
      </c>
      <c r="AB31" s="1727">
        <f t="shared" si="4"/>
        <v>1</v>
      </c>
      <c r="AC31" s="1727">
        <f t="shared" si="5"/>
        <v>1</v>
      </c>
    </row>
    <row r="32" spans="1:29" ht="15">
      <c r="A32" s="1716" t="s">
        <v>2275</v>
      </c>
      <c r="B32" s="1686" t="s">
        <v>2276</v>
      </c>
      <c r="C32" s="1760" t="s">
        <v>3120</v>
      </c>
      <c r="D32" s="1761">
        <v>100</v>
      </c>
      <c r="E32" s="1760" t="s">
        <v>3120</v>
      </c>
      <c r="F32" s="1753">
        <f>SUMIF(100:100,E32,101:101)-SUMIF(100:100,C32,101:101)+100</f>
        <v>100</v>
      </c>
      <c r="G32" s="1760" t="s">
        <v>3120</v>
      </c>
      <c r="H32" s="1761">
        <f>SUMIF(100:100,G32,101:101)-SUMIF(100:100,C32,101:101)+100</f>
        <v>100</v>
      </c>
      <c r="I32" s="1760" t="s">
        <v>3120</v>
      </c>
      <c r="J32" s="1710">
        <f>SUMIF(100:100,I32,101:101)-SUMIF(100:100,C32,101:101)+100</f>
        <v>100</v>
      </c>
      <c r="K32" s="1699">
        <v>0.5</v>
      </c>
      <c r="L32" s="2996"/>
      <c r="M32" s="2992"/>
      <c r="N32" s="2992"/>
      <c r="O32" s="2992"/>
      <c r="P32" s="3539" t="s">
        <v>2277</v>
      </c>
      <c r="Q32" s="1615" t="str">
        <f t="shared" si="11"/>
        <v>建筑类型</v>
      </c>
      <c r="R32" s="1724" t="s">
        <v>28</v>
      </c>
      <c r="S32" s="1725">
        <f t="shared" si="12"/>
        <v>100</v>
      </c>
      <c r="T32" s="1724" t="s">
        <v>28</v>
      </c>
      <c r="U32" s="1725">
        <f t="shared" si="13"/>
        <v>100</v>
      </c>
      <c r="V32" s="1724" t="s">
        <v>28</v>
      </c>
      <c r="W32" s="1725">
        <f t="shared" si="14"/>
        <v>100</v>
      </c>
      <c r="X32" s="1665"/>
      <c r="Y32" s="3542" t="s">
        <v>2277</v>
      </c>
      <c r="Z32" s="1726" t="str">
        <f t="shared" si="15"/>
        <v>建筑类型</v>
      </c>
      <c r="AA32" s="1727">
        <f t="shared" si="3"/>
        <v>1</v>
      </c>
      <c r="AB32" s="1727">
        <f t="shared" si="4"/>
        <v>1</v>
      </c>
      <c r="AC32" s="1727">
        <f t="shared" si="5"/>
        <v>1</v>
      </c>
    </row>
    <row r="33" spans="1:29" s="1769" customFormat="1" ht="15">
      <c r="A33" s="1762"/>
      <c r="B33" s="1694" t="s">
        <v>2278</v>
      </c>
      <c r="C33" s="1763">
        <f>项目基本情况!C12</f>
        <v>126.61</v>
      </c>
      <c r="D33" s="1696">
        <v>100</v>
      </c>
      <c r="E33" s="1703">
        <v>90.4</v>
      </c>
      <c r="F33" s="1698">
        <f>LOOKUP(E33,103:103,104:104)-LOOKUP(C33,103:103,104:104)+100</f>
        <v>102</v>
      </c>
      <c r="G33" s="1703">
        <v>125.14</v>
      </c>
      <c r="H33" s="1696">
        <f>LOOKUP(G33,103:103,104:104)-LOOKUP(C33,103:103,104:104)+100</f>
        <v>100</v>
      </c>
      <c r="I33" s="1776">
        <v>141.43</v>
      </c>
      <c r="J33" s="1696">
        <f>LOOKUP(I33,103:103,104:104)-LOOKUP(C33,103:103,104:104)+100</f>
        <v>100</v>
      </c>
      <c r="K33" s="1708"/>
      <c r="L33" s="2995"/>
      <c r="M33" s="2056"/>
      <c r="N33" s="2056"/>
      <c r="O33" s="2056"/>
      <c r="P33" s="3540"/>
      <c r="Q33" s="1764" t="str">
        <f t="shared" si="11"/>
        <v>项目建筑规模</v>
      </c>
      <c r="R33" s="1765" t="s">
        <v>28</v>
      </c>
      <c r="S33" s="1766">
        <f t="shared" si="12"/>
        <v>102</v>
      </c>
      <c r="T33" s="1765" t="s">
        <v>28</v>
      </c>
      <c r="U33" s="1766">
        <f t="shared" si="13"/>
        <v>100</v>
      </c>
      <c r="V33" s="1765" t="s">
        <v>28</v>
      </c>
      <c r="W33" s="1766">
        <f t="shared" si="14"/>
        <v>100</v>
      </c>
      <c r="X33" s="1767"/>
      <c r="Y33" s="3542"/>
      <c r="Z33" s="1768" t="str">
        <f t="shared" si="15"/>
        <v>项目建筑规模</v>
      </c>
      <c r="AA33" s="1727">
        <f t="shared" si="3"/>
        <v>0.98039215686274506</v>
      </c>
      <c r="AB33" s="1727">
        <f t="shared" si="4"/>
        <v>1</v>
      </c>
      <c r="AC33" s="1727">
        <f t="shared" si="5"/>
        <v>1</v>
      </c>
    </row>
    <row r="34" spans="1:29" ht="15">
      <c r="A34" s="1770"/>
      <c r="B34" s="1694" t="s">
        <v>2279</v>
      </c>
      <c r="C34" s="1771" t="s">
        <v>3135</v>
      </c>
      <c r="D34" s="1710">
        <v>100</v>
      </c>
      <c r="E34" s="1771" t="s">
        <v>3135</v>
      </c>
      <c r="F34" s="1753">
        <f>SUMIF(105:105,E34,106:106)-SUMIF(105:105,C34,106:106)+100</f>
        <v>100</v>
      </c>
      <c r="G34" s="1771" t="s">
        <v>3135</v>
      </c>
      <c r="H34" s="1710">
        <f>SUMIF(105:105,G34,106:106)-SUMIF(105:105,C34,106:106)+100</f>
        <v>100</v>
      </c>
      <c r="I34" s="1771" t="s">
        <v>3135</v>
      </c>
      <c r="J34" s="1710">
        <f>SUMIF(105:105,I34,106:106)-SUMIF(105:105,C34,106:106)+100</f>
        <v>100</v>
      </c>
      <c r="K34" s="1699">
        <v>2</v>
      </c>
      <c r="L34" s="2996"/>
      <c r="M34" s="2992"/>
      <c r="N34" s="2992"/>
      <c r="O34" s="2992"/>
      <c r="P34" s="3540"/>
      <c r="Q34" s="1615" t="str">
        <f t="shared" si="11"/>
        <v>建筑结构</v>
      </c>
      <c r="R34" s="1724" t="s">
        <v>28</v>
      </c>
      <c r="S34" s="1725">
        <f t="shared" si="12"/>
        <v>100</v>
      </c>
      <c r="T34" s="1724" t="s">
        <v>28</v>
      </c>
      <c r="U34" s="1725">
        <f t="shared" si="13"/>
        <v>100</v>
      </c>
      <c r="V34" s="1724" t="s">
        <v>28</v>
      </c>
      <c r="W34" s="1725">
        <f t="shared" si="14"/>
        <v>100</v>
      </c>
      <c r="X34" s="1665"/>
      <c r="Y34" s="3542"/>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40"/>
      <c r="Q35" s="1615" t="str">
        <f t="shared" si="11"/>
        <v>建筑品质</v>
      </c>
      <c r="R35" s="1724" t="s">
        <v>28</v>
      </c>
      <c r="S35" s="1725">
        <f t="shared" si="12"/>
        <v>100</v>
      </c>
      <c r="T35" s="1724" t="s">
        <v>28</v>
      </c>
      <c r="U35" s="1725">
        <f t="shared" si="13"/>
        <v>100</v>
      </c>
      <c r="V35" s="1724" t="s">
        <v>28</v>
      </c>
      <c r="W35" s="1725">
        <f t="shared" si="14"/>
        <v>100</v>
      </c>
      <c r="X35" s="1665"/>
      <c r="Y35" s="3542"/>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40"/>
      <c r="Q36" s="1615" t="str">
        <f t="shared" si="11"/>
        <v>公共部分装修</v>
      </c>
      <c r="R36" s="1724" t="s">
        <v>28</v>
      </c>
      <c r="S36" s="1725">
        <f t="shared" si="12"/>
        <v>100</v>
      </c>
      <c r="T36" s="1724" t="s">
        <v>28</v>
      </c>
      <c r="U36" s="1725">
        <f t="shared" si="13"/>
        <v>100</v>
      </c>
      <c r="V36" s="1724" t="s">
        <v>28</v>
      </c>
      <c r="W36" s="1725">
        <f t="shared" si="14"/>
        <v>100</v>
      </c>
      <c r="X36" s="1665"/>
      <c r="Y36" s="3542"/>
      <c r="Z36" s="1726" t="str">
        <f t="shared" si="15"/>
        <v>公共部分装修</v>
      </c>
      <c r="AA36" s="1727">
        <f t="shared" si="3"/>
        <v>1</v>
      </c>
      <c r="AB36" s="1727">
        <f t="shared" si="4"/>
        <v>1</v>
      </c>
      <c r="AC36" s="1727">
        <f t="shared" si="5"/>
        <v>1</v>
      </c>
    </row>
    <row r="37" spans="1:29" s="1684" customFormat="1" ht="15">
      <c r="A37" s="1773"/>
      <c r="B37" s="1694" t="s">
        <v>2282</v>
      </c>
      <c r="C37" s="1774">
        <f>'数据-取费表'!E20</f>
        <v>0.84</v>
      </c>
      <c r="D37" s="1696">
        <v>100</v>
      </c>
      <c r="E37" s="1775">
        <f>ROUND(1-(1-2%)*(2013-2005)/50,2)</f>
        <v>0.84</v>
      </c>
      <c r="F37" s="1698">
        <f>LOOKUP(E37,112:112,113:113)-LOOKUP(C37,112:112,113:113)+100</f>
        <v>100</v>
      </c>
      <c r="G37" s="1775">
        <f>ROUND(1-(1-2%)*(2013-2007)/50,2)</f>
        <v>0.88</v>
      </c>
      <c r="H37" s="1696">
        <f>LOOKUP(G37,112:112,113:113)-LOOKUP(C37,112:112,113:113)+100</f>
        <v>100</v>
      </c>
      <c r="I37" s="1775">
        <f>ROUND(1-(1-2%)*(2013-2003)/50,2)</f>
        <v>0.8</v>
      </c>
      <c r="J37" s="1696">
        <f>LOOKUP(I37,112:112,113:113)-LOOKUP(C37,112:112,113:113)+100</f>
        <v>100</v>
      </c>
      <c r="K37" s="1699">
        <v>1</v>
      </c>
      <c r="L37" s="2991"/>
      <c r="M37" s="2964"/>
      <c r="N37" s="2964"/>
      <c r="O37" s="2964"/>
      <c r="P37" s="3540"/>
      <c r="Q37" s="1634" t="str">
        <f t="shared" si="11"/>
        <v>成新度</v>
      </c>
      <c r="R37" s="1680" t="s">
        <v>28</v>
      </c>
      <c r="S37" s="1681">
        <f t="shared" si="12"/>
        <v>100</v>
      </c>
      <c r="T37" s="1680" t="s">
        <v>28</v>
      </c>
      <c r="U37" s="1681">
        <f t="shared" si="13"/>
        <v>100</v>
      </c>
      <c r="V37" s="1680" t="s">
        <v>28</v>
      </c>
      <c r="W37" s="1681">
        <f t="shared" si="14"/>
        <v>100</v>
      </c>
      <c r="X37" s="1682"/>
      <c r="Y37" s="3542"/>
      <c r="Z37" s="1692" t="str">
        <f t="shared" si="15"/>
        <v>成新度</v>
      </c>
      <c r="AA37" s="1683">
        <f t="shared" si="3"/>
        <v>1</v>
      </c>
      <c r="AB37" s="1683">
        <f t="shared" si="4"/>
        <v>1</v>
      </c>
      <c r="AC37" s="1683">
        <f t="shared" si="5"/>
        <v>1</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40" t="s">
        <v>2277</v>
      </c>
      <c r="Q38" s="1615" t="str">
        <f t="shared" si="11"/>
        <v>物业管理</v>
      </c>
      <c r="R38" s="1724" t="s">
        <v>28</v>
      </c>
      <c r="S38" s="1725">
        <f t="shared" si="12"/>
        <v>100</v>
      </c>
      <c r="T38" s="1724" t="s">
        <v>28</v>
      </c>
      <c r="U38" s="1725">
        <f t="shared" si="13"/>
        <v>100</v>
      </c>
      <c r="V38" s="1724" t="s">
        <v>28</v>
      </c>
      <c r="W38" s="1725">
        <f t="shared" si="14"/>
        <v>100</v>
      </c>
      <c r="X38" s="1665"/>
      <c r="Y38" s="3542" t="s">
        <v>2277</v>
      </c>
      <c r="Z38" s="1726" t="str">
        <f t="shared" si="15"/>
        <v>物业管理</v>
      </c>
      <c r="AA38" s="1727">
        <f t="shared" si="3"/>
        <v>1</v>
      </c>
      <c r="AB38" s="1727">
        <f t="shared" si="4"/>
        <v>1</v>
      </c>
      <c r="AC38" s="1727">
        <f t="shared" si="5"/>
        <v>1</v>
      </c>
    </row>
    <row r="39" spans="1:29" ht="15">
      <c r="A39" s="1770"/>
      <c r="B39" s="1694" t="s">
        <v>2284</v>
      </c>
      <c r="C39" s="1754" t="s">
        <v>2933</v>
      </c>
      <c r="D39" s="1710">
        <v>100</v>
      </c>
      <c r="E39" s="1754" t="s">
        <v>2933</v>
      </c>
      <c r="F39" s="1753">
        <f>SUMIF(116:116,E39,117:117)-SUMIF(116:116,C39,117:117)+100</f>
        <v>100</v>
      </c>
      <c r="G39" s="1754" t="s">
        <v>2933</v>
      </c>
      <c r="H39" s="1710">
        <f>SUMIF(116:116,G39,117:117)-SUMIF(116:116,C39,117:117)+100</f>
        <v>100</v>
      </c>
      <c r="I39" s="1754" t="s">
        <v>2933</v>
      </c>
      <c r="J39" s="1710">
        <f>SUMIF(116:116,I39,117:117)-SUMIF(116:116,C39,117:117)+100</f>
        <v>100</v>
      </c>
      <c r="K39" s="1699">
        <v>2</v>
      </c>
      <c r="L39" s="2996"/>
      <c r="M39" s="2992"/>
      <c r="N39" s="2992"/>
      <c r="O39" s="2992"/>
      <c r="P39" s="3540"/>
      <c r="Q39" s="1615" t="str">
        <f t="shared" si="11"/>
        <v>市政基础设施</v>
      </c>
      <c r="R39" s="1724" t="s">
        <v>28</v>
      </c>
      <c r="S39" s="1725">
        <f t="shared" si="12"/>
        <v>100</v>
      </c>
      <c r="T39" s="1724" t="s">
        <v>28</v>
      </c>
      <c r="U39" s="1725">
        <f t="shared" si="13"/>
        <v>100</v>
      </c>
      <c r="V39" s="1724" t="s">
        <v>28</v>
      </c>
      <c r="W39" s="1725">
        <f t="shared" si="14"/>
        <v>100</v>
      </c>
      <c r="X39" s="1665"/>
      <c r="Y39" s="3542"/>
      <c r="Z39" s="1726" t="str">
        <f t="shared" si="15"/>
        <v>市政基础设施</v>
      </c>
      <c r="AA39" s="1727">
        <f t="shared" si="3"/>
        <v>1</v>
      </c>
      <c r="AB39" s="1727">
        <f t="shared" si="4"/>
        <v>1</v>
      </c>
      <c r="AC39" s="1727">
        <f t="shared" si="5"/>
        <v>1</v>
      </c>
    </row>
    <row r="40" spans="1:29" ht="15">
      <c r="A40" s="1770"/>
      <c r="B40" s="1694" t="s">
        <v>2285</v>
      </c>
      <c r="C40" s="1754" t="s">
        <v>3062</v>
      </c>
      <c r="D40" s="1710">
        <v>100</v>
      </c>
      <c r="E40" s="1752" t="s">
        <v>3062</v>
      </c>
      <c r="F40" s="1753">
        <f>SUMIF(118:118,E40,119:119)-SUMIF(118:118,C40,119:119)+100</f>
        <v>100</v>
      </c>
      <c r="G40" s="1754" t="s">
        <v>3062</v>
      </c>
      <c r="H40" s="1710">
        <f>SUMIF(118:118,G40,119:119)-SUMIF(118:118,C40,119:119)+100</f>
        <v>100</v>
      </c>
      <c r="I40" s="1754" t="s">
        <v>3062</v>
      </c>
      <c r="J40" s="1710">
        <f>SUMIF(118:118,I40,119:119)-SUMIF(118:118,C40,119:119)+100</f>
        <v>100</v>
      </c>
      <c r="K40" s="1699">
        <v>-5</v>
      </c>
      <c r="L40" s="2996"/>
      <c r="M40" s="2992"/>
      <c r="N40" s="2992"/>
      <c r="O40" s="2992"/>
      <c r="P40" s="3540"/>
      <c r="Q40" s="1615" t="str">
        <f t="shared" si="11"/>
        <v>房型</v>
      </c>
      <c r="R40" s="1724" t="s">
        <v>28</v>
      </c>
      <c r="S40" s="1725">
        <f t="shared" si="12"/>
        <v>100</v>
      </c>
      <c r="T40" s="1724" t="s">
        <v>28</v>
      </c>
      <c r="U40" s="1725">
        <f t="shared" si="13"/>
        <v>100</v>
      </c>
      <c r="V40" s="1724" t="s">
        <v>28</v>
      </c>
      <c r="W40" s="1725">
        <f t="shared" si="14"/>
        <v>100</v>
      </c>
      <c r="X40" s="1665"/>
      <c r="Y40" s="3542"/>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40"/>
      <c r="Q41" s="1764" t="str">
        <f t="shared" si="11"/>
        <v>单套/主力户型建筑面积</v>
      </c>
      <c r="R41" s="1765" t="s">
        <v>28</v>
      </c>
      <c r="S41" s="1766">
        <f t="shared" si="12"/>
        <v>100</v>
      </c>
      <c r="T41" s="1765" t="s">
        <v>28</v>
      </c>
      <c r="U41" s="1766">
        <f t="shared" si="13"/>
        <v>100</v>
      </c>
      <c r="V41" s="1765" t="s">
        <v>28</v>
      </c>
      <c r="W41" s="1766">
        <f t="shared" si="14"/>
        <v>100</v>
      </c>
      <c r="X41" s="1767"/>
      <c r="Y41" s="3542"/>
      <c r="Z41" s="1768" t="str">
        <f t="shared" si="15"/>
        <v>单套/主力户型建筑面积</v>
      </c>
      <c r="AA41" s="1727">
        <f t="shared" si="3"/>
        <v>1</v>
      </c>
      <c r="AB41" s="1727">
        <f t="shared" si="4"/>
        <v>1</v>
      </c>
      <c r="AC41" s="1727">
        <f t="shared" si="5"/>
        <v>1</v>
      </c>
    </row>
    <row r="42" spans="1:29" ht="15">
      <c r="A42" s="1770"/>
      <c r="B42" s="1694" t="s">
        <v>2287</v>
      </c>
      <c r="C42" s="1754" t="s">
        <v>2934</v>
      </c>
      <c r="D42" s="1710">
        <v>100</v>
      </c>
      <c r="E42" s="1754" t="s">
        <v>2934</v>
      </c>
      <c r="F42" s="1710">
        <f>SUMIF(122:122,E42,123:123)-SUMIF(122:122,C42,123:123)+100</f>
        <v>100</v>
      </c>
      <c r="G42" s="1754" t="s">
        <v>2934</v>
      </c>
      <c r="H42" s="1710">
        <f>SUMIF(122:122,G42,123:123)-SUMIF(122:122,C42,123:123)+100</f>
        <v>100</v>
      </c>
      <c r="I42" s="1754" t="s">
        <v>2934</v>
      </c>
      <c r="J42" s="1710">
        <f>SUMIF(122:122,I42,123:123)-SUMIF(122:122,C42,123:123)+100</f>
        <v>100</v>
      </c>
      <c r="K42" s="1699">
        <v>1</v>
      </c>
      <c r="L42" s="2996"/>
      <c r="M42" s="2992"/>
      <c r="N42" s="2992"/>
      <c r="O42" s="2992"/>
      <c r="P42" s="3540"/>
      <c r="Q42" s="1615" t="str">
        <f t="shared" si="11"/>
        <v>内部装修</v>
      </c>
      <c r="R42" s="1724" t="s">
        <v>28</v>
      </c>
      <c r="S42" s="1725">
        <f t="shared" si="12"/>
        <v>100</v>
      </c>
      <c r="T42" s="1724" t="s">
        <v>28</v>
      </c>
      <c r="U42" s="1725">
        <f t="shared" si="13"/>
        <v>100</v>
      </c>
      <c r="V42" s="1724" t="s">
        <v>28</v>
      </c>
      <c r="W42" s="1725">
        <f t="shared" si="14"/>
        <v>100</v>
      </c>
      <c r="X42" s="1665"/>
      <c r="Y42" s="3542"/>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40"/>
      <c r="Q43" s="1615" t="str">
        <f t="shared" si="11"/>
        <v>内部装修维护情况</v>
      </c>
      <c r="R43" s="1724" t="s">
        <v>28</v>
      </c>
      <c r="S43" s="1725">
        <f t="shared" si="12"/>
        <v>100</v>
      </c>
      <c r="T43" s="1724" t="s">
        <v>28</v>
      </c>
      <c r="U43" s="1725">
        <f t="shared" si="13"/>
        <v>100</v>
      </c>
      <c r="V43" s="1724" t="s">
        <v>28</v>
      </c>
      <c r="W43" s="1725">
        <f t="shared" si="14"/>
        <v>100</v>
      </c>
      <c r="X43" s="1665"/>
      <c r="Y43" s="3542"/>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40"/>
      <c r="Q44" s="1634">
        <f t="shared" si="11"/>
        <v>111</v>
      </c>
      <c r="R44" s="1680" t="s">
        <v>28</v>
      </c>
      <c r="S44" s="1681">
        <f t="shared" si="12"/>
        <v>100</v>
      </c>
      <c r="T44" s="1680" t="s">
        <v>28</v>
      </c>
      <c r="U44" s="1681">
        <f t="shared" si="13"/>
        <v>100</v>
      </c>
      <c r="V44" s="1680" t="s">
        <v>28</v>
      </c>
      <c r="W44" s="1681">
        <f t="shared" si="14"/>
        <v>100</v>
      </c>
      <c r="X44" s="1682"/>
      <c r="Y44" s="3542"/>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40"/>
      <c r="Q45" s="1615">
        <f t="shared" si="11"/>
        <v>111</v>
      </c>
      <c r="R45" s="1724" t="s">
        <v>28</v>
      </c>
      <c r="S45" s="1725">
        <f t="shared" si="12"/>
        <v>100</v>
      </c>
      <c r="T45" s="1724" t="s">
        <v>28</v>
      </c>
      <c r="U45" s="1725">
        <f t="shared" si="13"/>
        <v>100</v>
      </c>
      <c r="V45" s="1724" t="s">
        <v>28</v>
      </c>
      <c r="W45" s="1725">
        <f t="shared" si="14"/>
        <v>100</v>
      </c>
      <c r="X45" s="1665"/>
      <c r="Y45" s="3542"/>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41"/>
      <c r="Q46" s="1615">
        <f t="shared" si="11"/>
        <v>111</v>
      </c>
      <c r="R46" s="1724" t="s">
        <v>27</v>
      </c>
      <c r="S46" s="1725">
        <f t="shared" si="12"/>
        <v>100</v>
      </c>
      <c r="T46" s="1724" t="s">
        <v>27</v>
      </c>
      <c r="U46" s="1725">
        <f t="shared" si="13"/>
        <v>100</v>
      </c>
      <c r="V46" s="1724" t="s">
        <v>27</v>
      </c>
      <c r="W46" s="1725">
        <f t="shared" si="14"/>
        <v>100</v>
      </c>
      <c r="X46" s="1665"/>
      <c r="Y46" s="3543"/>
      <c r="Z46" s="1726">
        <f t="shared" si="15"/>
        <v>111</v>
      </c>
      <c r="AA46" s="1727">
        <f t="shared" si="3"/>
        <v>1</v>
      </c>
      <c r="AB46" s="1727">
        <f t="shared" si="4"/>
        <v>1</v>
      </c>
      <c r="AC46" s="1727">
        <f t="shared" si="5"/>
        <v>1</v>
      </c>
    </row>
    <row r="47" spans="1:29" ht="15">
      <c r="A47" s="1778" t="s">
        <v>2289</v>
      </c>
      <c r="B47" s="1779"/>
      <c r="C47" s="1780" t="s">
        <v>26</v>
      </c>
      <c r="D47" s="1781"/>
      <c r="E47" s="1782">
        <v>22235</v>
      </c>
      <c r="F47" s="1783"/>
      <c r="G47" s="1784">
        <v>19818</v>
      </c>
      <c r="H47" s="1785"/>
      <c r="I47" s="1782">
        <v>21000</v>
      </c>
      <c r="J47" s="1785"/>
      <c r="K47" s="1786"/>
      <c r="L47" s="2997"/>
      <c r="N47" s="2992"/>
      <c r="P47" s="3534" t="str">
        <f>A47</f>
        <v>成交单价（元/平方米）</v>
      </c>
      <c r="Q47" s="3534"/>
      <c r="R47" s="3530">
        <f>E47</f>
        <v>22235</v>
      </c>
      <c r="S47" s="3530"/>
      <c r="T47" s="3530">
        <f>G47</f>
        <v>19818</v>
      </c>
      <c r="U47" s="3530"/>
      <c r="V47" s="3530">
        <f>I47</f>
        <v>21000</v>
      </c>
      <c r="W47" s="3530"/>
      <c r="X47" s="1788"/>
      <c r="Y47" s="1789"/>
      <c r="Z47" s="1788"/>
      <c r="AA47" s="1788"/>
      <c r="AB47" s="1788"/>
      <c r="AC47" s="1788"/>
    </row>
    <row r="48" spans="1:29" ht="15.75" thickBot="1">
      <c r="A48" s="1790" t="s">
        <v>2290</v>
      </c>
      <c r="B48" s="1791"/>
      <c r="C48" s="1792">
        <f>R49</f>
        <v>20707</v>
      </c>
      <c r="D48" s="1793" t="s">
        <v>2743</v>
      </c>
      <c r="E48" s="1794">
        <f>R48</f>
        <v>21801</v>
      </c>
      <c r="F48" s="1795"/>
      <c r="G48" s="1792">
        <f>T48</f>
        <v>19527</v>
      </c>
      <c r="H48" s="1795"/>
      <c r="I48" s="1794">
        <f>V48</f>
        <v>20792</v>
      </c>
      <c r="J48" s="1795"/>
      <c r="K48" s="2511">
        <f>F48+H48+J48</f>
        <v>0</v>
      </c>
      <c r="L48" s="2997"/>
      <c r="P48" s="3534" t="str">
        <f>A48</f>
        <v>比较价值（元/平方米）</v>
      </c>
      <c r="Q48" s="3534"/>
      <c r="R48" s="3530">
        <f>IF(E1="售价",ROUND(PRODUCT(R47,AA7:AA46),0),ROUND(PRODUCT(R47,AA7:AA46),1))</f>
        <v>21801</v>
      </c>
      <c r="S48" s="3530"/>
      <c r="T48" s="3528">
        <f>IF(E1="售价",ROUND(PRODUCT(T47,AB7:AB46),0),ROUND(PRODUCT(T47,AB7:AB46),1))</f>
        <v>19527</v>
      </c>
      <c r="U48" s="3529"/>
      <c r="V48" s="3530">
        <f>IF(E1="售价",ROUND(PRODUCT(V47,AC7:AC46),0),ROUND(PRODUCT(V47,AC7:AC46),1))</f>
        <v>20792</v>
      </c>
      <c r="W48" s="3530"/>
      <c r="X48" s="1788"/>
      <c r="Y48" s="1788"/>
      <c r="Z48" s="1788"/>
      <c r="AA48" s="1788"/>
      <c r="AB48" s="1788"/>
      <c r="AC48" s="1788"/>
    </row>
    <row r="49" spans="1:29" ht="15.75" thickBot="1">
      <c r="A49" s="1796" t="s">
        <v>2291</v>
      </c>
      <c r="B49" s="1797"/>
      <c r="C49" s="1798">
        <f>R49</f>
        <v>20707</v>
      </c>
      <c r="D49" s="1799"/>
      <c r="E49" s="1799"/>
      <c r="F49" s="1799"/>
      <c r="G49" s="1799"/>
      <c r="H49" s="1799"/>
      <c r="I49" s="1799"/>
      <c r="J49" s="1799"/>
      <c r="K49" s="1800"/>
      <c r="L49" s="2997"/>
      <c r="P49" s="3531" t="str">
        <f>A49</f>
        <v>估价对象XX用房的比较价值（楼面单价，元/平方米）</v>
      </c>
      <c r="Q49" s="3532"/>
      <c r="R49" s="3533">
        <f>IF(E1="售价",ROUND(IF(D48="简单平均",AVERAGE(R48:V48),R48*F48+T48*H48+V48*J48),0),ROUND(IF(D48="简单平均",AVERAGE(R48:V48),R48*F48+T48*H48+V48*J48),1))</f>
        <v>20707</v>
      </c>
      <c r="S49" s="3533"/>
      <c r="T49" s="3533"/>
      <c r="U49" s="3533"/>
      <c r="V49" s="3533"/>
      <c r="W49" s="3533"/>
      <c r="X49" s="1788"/>
      <c r="Y49" s="1788"/>
      <c r="Z49" s="1788"/>
      <c r="AA49" s="1788"/>
      <c r="AB49" s="1788"/>
      <c r="AC49" s="1788"/>
    </row>
    <row r="50" spans="1:29">
      <c r="G50" s="3001"/>
    </row>
    <row r="52" spans="1:29" ht="13.5" customHeight="1">
      <c r="C52" s="383" t="s">
        <v>2292</v>
      </c>
      <c r="D52" s="1804"/>
      <c r="E52" s="1805">
        <f>IF(E47&lt;E48,E48/E47-1,E47/E48-1)</f>
        <v>1.9907343699830271E-2</v>
      </c>
      <c r="F52" s="1806" t="str">
        <f>IF(OR(E52&gt;=0.3,E52&lt;=-0.3),"超过30%","")</f>
        <v/>
      </c>
      <c r="G52" s="1805">
        <f>IF(G47&lt;G48,G48/G47-1,G47/G48-1)</f>
        <v>1.4902442771547175E-2</v>
      </c>
      <c r="H52" s="1806" t="str">
        <f>IF(OR(G52&gt;=0.3,G52&lt;=-0.3),"超过30%","")</f>
        <v/>
      </c>
      <c r="I52" s="1805">
        <f>IF(I47&lt;I48,I48/I47-1,I47/I48-1)</f>
        <v>1.000384763370521E-2</v>
      </c>
      <c r="J52" s="1806" t="str">
        <f>IF(OR(I52&gt;=0.3,I52&lt;=-0.3),"超过30%","")</f>
        <v/>
      </c>
    </row>
    <row r="53" spans="1:29" ht="13.5" customHeight="1">
      <c r="C53" s="383" t="s">
        <v>2293</v>
      </c>
      <c r="D53" s="1807"/>
      <c r="E53" s="1805">
        <f>IF(E48&lt;G48,G48/E48-1,E48/G48-1)</f>
        <v>0.11645414042095559</v>
      </c>
      <c r="F53" s="1806" t="str">
        <f>IF(OR(E53&gt;=0.2,E53&lt;=-0.2),"超过20%","")</f>
        <v/>
      </c>
      <c r="G53" s="1805">
        <f>IF(G48&lt;I48,I48/G48-1,G48/I48-1)</f>
        <v>6.4782096584216742E-2</v>
      </c>
      <c r="H53" s="1806" t="str">
        <f>IF(OR(G53&gt;=0.2,G53&lt;=-0.2),"超过20%","")</f>
        <v/>
      </c>
      <c r="I53" s="1805">
        <f>IF(I48&lt;E48,E48/I48-1,I48/E48-1)</f>
        <v>4.8528280107733801E-2</v>
      </c>
      <c r="J53" s="1806" t="str">
        <f>IF(OR(I53&gt;=0.2,I53&lt;=-0.2),"超过20%","")</f>
        <v/>
      </c>
    </row>
    <row r="54" spans="1:29" s="1810" customFormat="1" ht="13.5" customHeight="1">
      <c r="C54" s="383" t="s">
        <v>2294</v>
      </c>
      <c r="D54" s="1807"/>
      <c r="E54" s="1805">
        <f>IF(E47&lt;G47,G47/E47-1,E47/G47-1)</f>
        <v>0.12195983449389436</v>
      </c>
      <c r="F54" s="1806" t="str">
        <f>IF(OR(E54&gt;=0.3,E54&lt;=-0.3),"超过30%","")</f>
        <v/>
      </c>
      <c r="G54" s="1805">
        <f>IF(G47&lt;I47,I47/G47-1,G47/I47-1)</f>
        <v>5.9642749016046048E-2</v>
      </c>
      <c r="H54" s="1806" t="str">
        <f>IF(OR(G54&gt;=0.3,G54&lt;=-0.3),"超过30%","")</f>
        <v/>
      </c>
      <c r="I54" s="1805">
        <f>IF(I47&lt;E47,E47/I47-1,I47/E47-1)</f>
        <v>5.8809523809523867E-2</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2013-6</v>
      </c>
      <c r="D58" s="1822">
        <f>EDATE(C58,-1)</f>
        <v>41395</v>
      </c>
      <c r="E58" s="1822">
        <f t="shared" ref="E58:O58" si="16">EDATE(D58,-1)</f>
        <v>41365</v>
      </c>
      <c r="F58" s="1822">
        <f t="shared" si="16"/>
        <v>41334</v>
      </c>
      <c r="G58" s="1822">
        <f t="shared" si="16"/>
        <v>41306</v>
      </c>
      <c r="H58" s="1822">
        <f t="shared" si="16"/>
        <v>41275</v>
      </c>
      <c r="I58" s="1822">
        <f t="shared" si="16"/>
        <v>41244</v>
      </c>
      <c r="J58" s="1822">
        <f t="shared" si="16"/>
        <v>41214</v>
      </c>
      <c r="K58" s="1822">
        <f t="shared" si="16"/>
        <v>41183</v>
      </c>
      <c r="L58" s="1822">
        <f t="shared" si="16"/>
        <v>41153</v>
      </c>
      <c r="M58" s="1822">
        <f t="shared" si="16"/>
        <v>41122</v>
      </c>
      <c r="N58" s="1822">
        <f t="shared" si="16"/>
        <v>41091</v>
      </c>
      <c r="O58" s="1822">
        <f t="shared" si="16"/>
        <v>41061</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3128</v>
      </c>
      <c r="D88" s="3147" t="s">
        <v>3129</v>
      </c>
      <c r="E88" s="3147" t="s">
        <v>3122</v>
      </c>
      <c r="F88" s="3147"/>
      <c r="G88" s="3147"/>
      <c r="H88" s="3147"/>
      <c r="I88" s="3147"/>
      <c r="J88" s="3147"/>
      <c r="K88" s="3147"/>
      <c r="L88" s="3147"/>
      <c r="M88" s="1887"/>
      <c r="N88" s="1839"/>
      <c r="O88" s="1839"/>
      <c r="P88" s="1849"/>
      <c r="Q88" s="1818"/>
    </row>
    <row r="89" spans="1:17" s="1684" customFormat="1" ht="15.75" thickBot="1">
      <c r="A89" s="1886"/>
      <c r="B89" s="1858"/>
      <c r="C89" s="1888">
        <v>100</v>
      </c>
      <c r="D89" s="1859">
        <f t="shared" ref="D89:M89" si="21">C89-$K26</f>
        <v>97</v>
      </c>
      <c r="E89" s="1859">
        <f t="shared" si="21"/>
        <v>94</v>
      </c>
      <c r="F89" s="1859">
        <f t="shared" si="21"/>
        <v>91</v>
      </c>
      <c r="G89" s="1859">
        <f t="shared" si="21"/>
        <v>88</v>
      </c>
      <c r="H89" s="1859">
        <f t="shared" si="21"/>
        <v>85</v>
      </c>
      <c r="I89" s="1859">
        <f t="shared" si="21"/>
        <v>82</v>
      </c>
      <c r="J89" s="1859">
        <f t="shared" si="21"/>
        <v>79</v>
      </c>
      <c r="K89" s="1859">
        <f t="shared" si="21"/>
        <v>76</v>
      </c>
      <c r="L89" s="1859">
        <f t="shared" si="21"/>
        <v>73</v>
      </c>
      <c r="M89" s="1859">
        <f t="shared" si="21"/>
        <v>70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3106</v>
      </c>
      <c r="D100" s="3146" t="s">
        <v>3107</v>
      </c>
      <c r="E100" s="3146" t="s">
        <v>3108</v>
      </c>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99.5</v>
      </c>
      <c r="E101" s="1859">
        <f t="shared" si="23"/>
        <v>99</v>
      </c>
      <c r="F101" s="1859">
        <f t="shared" si="23"/>
        <v>98.5</v>
      </c>
      <c r="G101" s="1859">
        <f t="shared" si="23"/>
        <v>98</v>
      </c>
      <c r="H101" s="1859">
        <f t="shared" si="23"/>
        <v>97.5</v>
      </c>
      <c r="I101" s="1859">
        <f t="shared" si="23"/>
        <v>97</v>
      </c>
      <c r="J101" s="1859">
        <f t="shared" si="23"/>
        <v>96.5</v>
      </c>
      <c r="K101" s="1859">
        <f t="shared" si="23"/>
        <v>96</v>
      </c>
      <c r="L101" s="1859">
        <f t="shared" si="23"/>
        <v>95.5</v>
      </c>
      <c r="M101" s="1859">
        <f t="shared" si="23"/>
        <v>95</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90(含)-120</v>
      </c>
      <c r="G102" s="579" t="str">
        <f t="shared" si="24"/>
        <v>120(含)-150</v>
      </c>
      <c r="H102" s="579" t="str">
        <f t="shared" si="24"/>
        <v>150(含)-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120</v>
      </c>
      <c r="H103" s="1898">
        <v>150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2903</v>
      </c>
      <c r="D105" s="3147" t="s">
        <v>3136</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2932</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2904</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2911</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2905</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3126</v>
      </c>
      <c r="D118" s="3148" t="s">
        <v>3127</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105</v>
      </c>
      <c r="E119" s="1859">
        <f t="shared" si="30"/>
        <v>110</v>
      </c>
      <c r="F119" s="1859">
        <f t="shared" si="30"/>
        <v>115</v>
      </c>
      <c r="G119" s="1859">
        <f t="shared" si="30"/>
        <v>120</v>
      </c>
      <c r="H119" s="1859">
        <f t="shared" si="30"/>
        <v>125</v>
      </c>
      <c r="I119" s="1859">
        <f t="shared" si="30"/>
        <v>130</v>
      </c>
      <c r="J119" s="1859">
        <f t="shared" si="30"/>
        <v>135</v>
      </c>
      <c r="K119" s="1859">
        <f t="shared" si="30"/>
        <v>140</v>
      </c>
      <c r="L119" s="1859">
        <f t="shared" si="30"/>
        <v>145</v>
      </c>
      <c r="M119" s="1859">
        <f t="shared" si="30"/>
        <v>150</v>
      </c>
      <c r="N119" s="1854"/>
      <c r="O119" s="1854"/>
      <c r="P119" s="1849"/>
      <c r="Q119" s="1818"/>
    </row>
    <row r="120" spans="1:17" s="1769" customFormat="1" ht="28.5" thickTop="1">
      <c r="A120" s="1896"/>
      <c r="B120" s="1855" t="s">
        <v>2286</v>
      </c>
      <c r="C120" s="468">
        <f>项目基本情况!C12</f>
        <v>126.61</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2906</v>
      </c>
      <c r="D122" s="3147" t="s">
        <v>2909</v>
      </c>
      <c r="E122" s="3147" t="s">
        <v>2907</v>
      </c>
      <c r="F122" s="3148" t="s">
        <v>2908</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126.61</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61" t="s">
        <v>2248</v>
      </c>
      <c r="D4" s="3562"/>
      <c r="E4" s="3563" t="s">
        <v>2249</v>
      </c>
      <c r="F4" s="3564"/>
      <c r="G4" s="3561" t="s">
        <v>2250</v>
      </c>
      <c r="H4" s="3562"/>
      <c r="I4" s="3561" t="s">
        <v>2251</v>
      </c>
      <c r="J4" s="3562"/>
      <c r="K4" s="1962" t="s">
        <v>2252</v>
      </c>
      <c r="L4" s="2991"/>
      <c r="M4" s="2992"/>
      <c r="N4" s="2992"/>
      <c r="O4" s="2992"/>
      <c r="P4" s="3565" t="s">
        <v>2253</v>
      </c>
      <c r="Q4" s="3566"/>
      <c r="R4" s="3550" t="s">
        <v>2249</v>
      </c>
      <c r="S4" s="3551"/>
      <c r="T4" s="3550" t="s">
        <v>2250</v>
      </c>
      <c r="U4" s="3551"/>
      <c r="V4" s="3571" t="s">
        <v>2251</v>
      </c>
      <c r="W4" s="3571"/>
      <c r="X4" s="2071"/>
      <c r="Y4" s="3550" t="s">
        <v>2253</v>
      </c>
      <c r="Z4" s="3551"/>
      <c r="AA4" s="3558" t="s">
        <v>2249</v>
      </c>
      <c r="AB4" s="3571" t="s">
        <v>2250</v>
      </c>
      <c r="AC4" s="3558" t="s">
        <v>2251</v>
      </c>
    </row>
    <row r="5" spans="1:29" ht="15">
      <c r="A5" s="1667"/>
      <c r="B5" s="1668"/>
      <c r="C5" s="3572" t="s">
        <v>2254</v>
      </c>
      <c r="D5" s="3547"/>
      <c r="E5" s="3575" t="s">
        <v>2255</v>
      </c>
      <c r="F5" s="3576"/>
      <c r="G5" s="3572" t="s">
        <v>2256</v>
      </c>
      <c r="H5" s="3547"/>
      <c r="I5" s="3572" t="s">
        <v>2257</v>
      </c>
      <c r="J5" s="3547"/>
      <c r="K5" s="1962"/>
      <c r="L5" s="2991"/>
      <c r="M5" s="2992"/>
      <c r="N5" s="2992"/>
      <c r="O5" s="2992"/>
      <c r="P5" s="3567"/>
      <c r="Q5" s="3568"/>
      <c r="R5" s="3552"/>
      <c r="S5" s="3553"/>
      <c r="T5" s="3552"/>
      <c r="U5" s="3553"/>
      <c r="V5" s="3571"/>
      <c r="W5" s="3571"/>
      <c r="X5" s="2071"/>
      <c r="Y5" s="3552"/>
      <c r="Z5" s="3553"/>
      <c r="AA5" s="3559"/>
      <c r="AB5" s="3571"/>
      <c r="AC5" s="3559"/>
    </row>
    <row r="6" spans="1:29" ht="15.75" thickBot="1">
      <c r="A6" s="1670"/>
      <c r="B6" s="1671"/>
      <c r="C6" s="3544" t="s">
        <v>2258</v>
      </c>
      <c r="D6" s="3545"/>
      <c r="E6" s="3573" t="s">
        <v>2258</v>
      </c>
      <c r="F6" s="3574"/>
      <c r="G6" s="3544" t="s">
        <v>2258</v>
      </c>
      <c r="H6" s="3545"/>
      <c r="I6" s="3544" t="s">
        <v>2258</v>
      </c>
      <c r="J6" s="3545"/>
      <c r="K6" s="1962" t="s">
        <v>2259</v>
      </c>
      <c r="L6" s="2991"/>
      <c r="M6" s="2992"/>
      <c r="N6" s="2992"/>
      <c r="O6" s="2992"/>
      <c r="P6" s="3569"/>
      <c r="Q6" s="3570"/>
      <c r="R6" s="3552"/>
      <c r="S6" s="3553"/>
      <c r="T6" s="3554"/>
      <c r="U6" s="3555"/>
      <c r="V6" s="3571"/>
      <c r="W6" s="3571"/>
      <c r="X6" s="2071"/>
      <c r="Y6" s="3554"/>
      <c r="Z6" s="3555"/>
      <c r="AA6" s="3560"/>
      <c r="AB6" s="3571"/>
      <c r="AC6" s="3560"/>
    </row>
    <row r="7" spans="1:29" s="1684" customFormat="1" ht="15.75" thickBot="1">
      <c r="A7" s="1672" t="s">
        <v>2260</v>
      </c>
      <c r="B7" s="1673"/>
      <c r="C7" s="1674">
        <f>'数据-取费表'!B2</f>
        <v>41443</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48" t="s">
        <v>2261</v>
      </c>
      <c r="Q7" s="3556"/>
      <c r="R7" s="1680" t="s">
        <v>25</v>
      </c>
      <c r="S7" s="1681">
        <f t="shared" ref="S7:S15" si="0">F7</f>
        <v>0</v>
      </c>
      <c r="T7" s="1680" t="s">
        <v>25</v>
      </c>
      <c r="U7" s="1681">
        <f t="shared" ref="U7:U15" si="1">H7</f>
        <v>0</v>
      </c>
      <c r="V7" s="1680" t="s">
        <v>25</v>
      </c>
      <c r="W7" s="1681">
        <f t="shared" ref="W7:W15" si="2">J7</f>
        <v>0</v>
      </c>
      <c r="X7" s="1682"/>
      <c r="Y7" s="3548" t="s">
        <v>2261</v>
      </c>
      <c r="Z7" s="3549"/>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48" t="s">
        <v>2264</v>
      </c>
      <c r="Q8" s="3549"/>
      <c r="R8" s="1680" t="s">
        <v>25</v>
      </c>
      <c r="S8" s="1681">
        <f t="shared" si="0"/>
        <v>0</v>
      </c>
      <c r="T8" s="1680" t="s">
        <v>25</v>
      </c>
      <c r="U8" s="1681">
        <f t="shared" si="1"/>
        <v>0</v>
      </c>
      <c r="V8" s="1680" t="s">
        <v>25</v>
      </c>
      <c r="W8" s="1681">
        <f t="shared" si="2"/>
        <v>0</v>
      </c>
      <c r="X8" s="1682"/>
      <c r="Y8" s="3548" t="s">
        <v>2264</v>
      </c>
      <c r="Z8" s="3549"/>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57" t="s">
        <v>2267</v>
      </c>
      <c r="Q9" s="2062" t="str">
        <f t="shared" ref="Q9:Q15" si="6">B9</f>
        <v>用途</v>
      </c>
      <c r="R9" s="1680" t="s">
        <v>25</v>
      </c>
      <c r="S9" s="1681">
        <f t="shared" si="0"/>
        <v>100</v>
      </c>
      <c r="T9" s="1680" t="s">
        <v>25</v>
      </c>
      <c r="U9" s="1681">
        <f t="shared" si="1"/>
        <v>100</v>
      </c>
      <c r="V9" s="1680" t="s">
        <v>25</v>
      </c>
      <c r="W9" s="1681">
        <f t="shared" si="2"/>
        <v>100</v>
      </c>
      <c r="X9" s="1682"/>
      <c r="Y9" s="3367"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57"/>
      <c r="Q10" s="2062" t="str">
        <f t="shared" si="6"/>
        <v>土地使用年限（年）</v>
      </c>
      <c r="R10" s="1680" t="s">
        <v>25</v>
      </c>
      <c r="S10" s="1681">
        <f t="shared" si="0"/>
        <v>100</v>
      </c>
      <c r="T10" s="1680" t="s">
        <v>25</v>
      </c>
      <c r="U10" s="1681">
        <f t="shared" si="1"/>
        <v>100</v>
      </c>
      <c r="V10" s="1680" t="s">
        <v>25</v>
      </c>
      <c r="W10" s="1681">
        <f t="shared" si="2"/>
        <v>100</v>
      </c>
      <c r="X10" s="1682"/>
      <c r="Y10" s="3367"/>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57"/>
      <c r="Q11" s="2062" t="str">
        <f t="shared" si="6"/>
        <v>容积率</v>
      </c>
      <c r="R11" s="1680" t="s">
        <v>25</v>
      </c>
      <c r="S11" s="1681" t="e">
        <f t="shared" si="0"/>
        <v>#N/A</v>
      </c>
      <c r="T11" s="1680" t="s">
        <v>25</v>
      </c>
      <c r="U11" s="1681" t="e">
        <f t="shared" si="1"/>
        <v>#N/A</v>
      </c>
      <c r="V11" s="1680" t="s">
        <v>25</v>
      </c>
      <c r="W11" s="1681" t="e">
        <f t="shared" si="2"/>
        <v>#N/A</v>
      </c>
      <c r="X11" s="1682"/>
      <c r="Y11" s="3367"/>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57"/>
      <c r="Q12" s="2062">
        <f t="shared" si="6"/>
        <v>111</v>
      </c>
      <c r="R12" s="1680" t="s">
        <v>25</v>
      </c>
      <c r="S12" s="1681">
        <f t="shared" si="0"/>
        <v>100</v>
      </c>
      <c r="T12" s="1680" t="s">
        <v>25</v>
      </c>
      <c r="U12" s="1681">
        <f t="shared" si="1"/>
        <v>100</v>
      </c>
      <c r="V12" s="1680" t="s">
        <v>25</v>
      </c>
      <c r="W12" s="1681">
        <f t="shared" si="2"/>
        <v>100</v>
      </c>
      <c r="X12" s="1682"/>
      <c r="Y12" s="3367"/>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57"/>
      <c r="Q13" s="2062">
        <f t="shared" si="6"/>
        <v>111</v>
      </c>
      <c r="R13" s="1680" t="s">
        <v>25</v>
      </c>
      <c r="S13" s="1681">
        <f t="shared" si="0"/>
        <v>100</v>
      </c>
      <c r="T13" s="1680" t="s">
        <v>25</v>
      </c>
      <c r="U13" s="1681">
        <f t="shared" si="1"/>
        <v>100</v>
      </c>
      <c r="V13" s="1680" t="s">
        <v>25</v>
      </c>
      <c r="W13" s="1681">
        <f t="shared" si="2"/>
        <v>100</v>
      </c>
      <c r="X13" s="1682"/>
      <c r="Y13" s="3367"/>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57"/>
      <c r="Q14" s="2062">
        <f t="shared" si="6"/>
        <v>111</v>
      </c>
      <c r="R14" s="1680" t="s">
        <v>25</v>
      </c>
      <c r="S14" s="1681">
        <f t="shared" si="0"/>
        <v>100</v>
      </c>
      <c r="T14" s="1680" t="s">
        <v>25</v>
      </c>
      <c r="U14" s="1681">
        <f t="shared" si="1"/>
        <v>100</v>
      </c>
      <c r="V14" s="1680" t="s">
        <v>25</v>
      </c>
      <c r="W14" s="1681">
        <f t="shared" si="2"/>
        <v>100</v>
      </c>
      <c r="X14" s="1682"/>
      <c r="Y14" s="3367"/>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35" t="s">
        <v>2272</v>
      </c>
      <c r="Q15" s="2068" t="str">
        <f t="shared" si="6"/>
        <v>商业繁华度</v>
      </c>
      <c r="R15" s="1724" t="s">
        <v>25</v>
      </c>
      <c r="S15" s="1725">
        <f t="shared" si="0"/>
        <v>100</v>
      </c>
      <c r="T15" s="1724" t="s">
        <v>25</v>
      </c>
      <c r="U15" s="1725">
        <f t="shared" si="1"/>
        <v>100</v>
      </c>
      <c r="V15" s="1724" t="s">
        <v>25</v>
      </c>
      <c r="W15" s="1725">
        <f t="shared" si="2"/>
        <v>100</v>
      </c>
      <c r="X15" s="2071"/>
      <c r="Y15" s="3537"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36"/>
      <c r="Q16" s="2068"/>
      <c r="R16" s="1724"/>
      <c r="S16" s="1725"/>
      <c r="T16" s="1724"/>
      <c r="U16" s="1725"/>
      <c r="V16" s="1724"/>
      <c r="W16" s="1725"/>
      <c r="X16" s="2071"/>
      <c r="Y16" s="3538"/>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36"/>
      <c r="Q17" s="2068" t="str">
        <f>B17</f>
        <v>交通便捷度</v>
      </c>
      <c r="R17" s="1724" t="s">
        <v>25</v>
      </c>
      <c r="S17" s="1725">
        <f>F17</f>
        <v>100</v>
      </c>
      <c r="T17" s="1724" t="s">
        <v>25</v>
      </c>
      <c r="U17" s="1725">
        <f>H17</f>
        <v>100</v>
      </c>
      <c r="V17" s="1724" t="s">
        <v>25</v>
      </c>
      <c r="W17" s="1725">
        <f>J17</f>
        <v>100</v>
      </c>
      <c r="X17" s="2071"/>
      <c r="Y17" s="3538"/>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36"/>
      <c r="Q18" s="2068"/>
      <c r="R18" s="1724"/>
      <c r="S18" s="1725"/>
      <c r="T18" s="1724"/>
      <c r="U18" s="1725"/>
      <c r="V18" s="1724"/>
      <c r="W18" s="1725"/>
      <c r="X18" s="2071"/>
      <c r="Y18" s="3538"/>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36"/>
      <c r="Q19" s="2068" t="str">
        <f>B19</f>
        <v>公共配套设施</v>
      </c>
      <c r="R19" s="1724" t="s">
        <v>25</v>
      </c>
      <c r="S19" s="1725">
        <f>F19</f>
        <v>100</v>
      </c>
      <c r="T19" s="1724" t="s">
        <v>25</v>
      </c>
      <c r="U19" s="1725">
        <f>H19</f>
        <v>100</v>
      </c>
      <c r="V19" s="1724" t="s">
        <v>25</v>
      </c>
      <c r="W19" s="1725">
        <f>J19</f>
        <v>100</v>
      </c>
      <c r="X19" s="2071"/>
      <c r="Y19" s="3538"/>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36"/>
      <c r="Q20" s="2068"/>
      <c r="R20" s="1724"/>
      <c r="S20" s="1725"/>
      <c r="T20" s="1724"/>
      <c r="U20" s="1725"/>
      <c r="V20" s="1724"/>
      <c r="W20" s="1725"/>
      <c r="X20" s="2071"/>
      <c r="Y20" s="3538"/>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36"/>
      <c r="Q21" s="2068" t="str">
        <f>B21</f>
        <v>基础设施水平</v>
      </c>
      <c r="R21" s="1724" t="s">
        <v>25</v>
      </c>
      <c r="S21" s="1725">
        <f>F21</f>
        <v>100</v>
      </c>
      <c r="T21" s="1724" t="s">
        <v>25</v>
      </c>
      <c r="U21" s="1725">
        <f>H21</f>
        <v>100</v>
      </c>
      <c r="V21" s="1724" t="s">
        <v>25</v>
      </c>
      <c r="W21" s="1725">
        <f>J21</f>
        <v>100</v>
      </c>
      <c r="X21" s="2071"/>
      <c r="Y21" s="3538"/>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36"/>
      <c r="Q22" s="2068"/>
      <c r="R22" s="1724"/>
      <c r="S22" s="1725"/>
      <c r="T22" s="1724"/>
      <c r="U22" s="1725"/>
      <c r="V22" s="1724"/>
      <c r="W22" s="1725"/>
      <c r="X22" s="2071"/>
      <c r="Y22" s="3538"/>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36"/>
      <c r="Q23" s="2068" t="str">
        <f>B23</f>
        <v>自然及人文环境</v>
      </c>
      <c r="R23" s="1724" t="s">
        <v>25</v>
      </c>
      <c r="S23" s="1725">
        <f>F23</f>
        <v>100</v>
      </c>
      <c r="T23" s="1724" t="s">
        <v>25</v>
      </c>
      <c r="U23" s="1725">
        <f>H23</f>
        <v>100</v>
      </c>
      <c r="V23" s="1724" t="s">
        <v>25</v>
      </c>
      <c r="W23" s="1725">
        <f>J23</f>
        <v>100</v>
      </c>
      <c r="X23" s="2071"/>
      <c r="Y23" s="3538"/>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36"/>
      <c r="Q24" s="2068"/>
      <c r="R24" s="1724"/>
      <c r="S24" s="1725"/>
      <c r="T24" s="1724"/>
      <c r="U24" s="1725"/>
      <c r="V24" s="1724"/>
      <c r="W24" s="1725"/>
      <c r="X24" s="2071"/>
      <c r="Y24" s="3538"/>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36"/>
      <c r="Q25" s="2068" t="str">
        <f t="shared" ref="Q25:Q46" si="11">B25</f>
        <v>临街状况</v>
      </c>
      <c r="R25" s="1724" t="s">
        <v>25</v>
      </c>
      <c r="S25" s="1725">
        <f>F25</f>
        <v>100</v>
      </c>
      <c r="T25" s="1724" t="s">
        <v>25</v>
      </c>
      <c r="U25" s="1725">
        <f>H25</f>
        <v>100</v>
      </c>
      <c r="V25" s="1724" t="s">
        <v>25</v>
      </c>
      <c r="W25" s="1725">
        <f>J25</f>
        <v>100</v>
      </c>
      <c r="X25" s="2071"/>
      <c r="Y25" s="3538"/>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36"/>
      <c r="Q26" s="2068" t="str">
        <f t="shared" si="11"/>
        <v>平面位置/可视性</v>
      </c>
      <c r="R26" s="1724" t="s">
        <v>25</v>
      </c>
      <c r="S26" s="1725">
        <f>F26</f>
        <v>100</v>
      </c>
      <c r="T26" s="1724" t="s">
        <v>25</v>
      </c>
      <c r="U26" s="1725">
        <f>H26</f>
        <v>100</v>
      </c>
      <c r="V26" s="1724" t="s">
        <v>25</v>
      </c>
      <c r="W26" s="1725">
        <f>J26</f>
        <v>100</v>
      </c>
      <c r="X26" s="2071"/>
      <c r="Y26" s="3538"/>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36"/>
      <c r="Q27" s="2062" t="str">
        <f t="shared" si="11"/>
        <v>人流量</v>
      </c>
      <c r="R27" s="1680" t="s">
        <v>25</v>
      </c>
      <c r="S27" s="1681">
        <f>F27</f>
        <v>100</v>
      </c>
      <c r="T27" s="1680" t="s">
        <v>25</v>
      </c>
      <c r="U27" s="1681">
        <f>H27</f>
        <v>100</v>
      </c>
      <c r="V27" s="1680" t="s">
        <v>25</v>
      </c>
      <c r="W27" s="1681">
        <f>J27</f>
        <v>100</v>
      </c>
      <c r="X27" s="1682"/>
      <c r="Y27" s="3538"/>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36"/>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38"/>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36"/>
      <c r="Q29" s="2068">
        <f t="shared" si="11"/>
        <v>111</v>
      </c>
      <c r="R29" s="1724" t="s">
        <v>25</v>
      </c>
      <c r="S29" s="1725">
        <f t="shared" si="12"/>
        <v>100</v>
      </c>
      <c r="T29" s="1724" t="s">
        <v>25</v>
      </c>
      <c r="U29" s="1725">
        <f t="shared" si="13"/>
        <v>100</v>
      </c>
      <c r="V29" s="1724" t="s">
        <v>25</v>
      </c>
      <c r="W29" s="1725">
        <f t="shared" si="14"/>
        <v>100</v>
      </c>
      <c r="X29" s="2071"/>
      <c r="Y29" s="3538"/>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36"/>
      <c r="Q30" s="2068">
        <f t="shared" si="11"/>
        <v>111</v>
      </c>
      <c r="R30" s="1724" t="s">
        <v>25</v>
      </c>
      <c r="S30" s="1725">
        <f t="shared" si="12"/>
        <v>100</v>
      </c>
      <c r="T30" s="1724" t="s">
        <v>25</v>
      </c>
      <c r="U30" s="1725">
        <f t="shared" si="13"/>
        <v>100</v>
      </c>
      <c r="V30" s="1724" t="s">
        <v>25</v>
      </c>
      <c r="W30" s="1725">
        <f t="shared" si="14"/>
        <v>100</v>
      </c>
      <c r="X30" s="2071"/>
      <c r="Y30" s="3538"/>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36"/>
      <c r="Q31" s="2068">
        <f t="shared" si="11"/>
        <v>111</v>
      </c>
      <c r="R31" s="1724" t="s">
        <v>25</v>
      </c>
      <c r="S31" s="1725">
        <f t="shared" si="12"/>
        <v>100</v>
      </c>
      <c r="T31" s="1724" t="s">
        <v>25</v>
      </c>
      <c r="U31" s="1725">
        <f t="shared" si="13"/>
        <v>100</v>
      </c>
      <c r="V31" s="1724" t="s">
        <v>25</v>
      </c>
      <c r="W31" s="1725">
        <f t="shared" si="14"/>
        <v>100</v>
      </c>
      <c r="X31" s="2071"/>
      <c r="Y31" s="3538"/>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39" t="s">
        <v>2277</v>
      </c>
      <c r="Q32" s="2068" t="str">
        <f t="shared" si="11"/>
        <v>商业类型</v>
      </c>
      <c r="R32" s="1724" t="s">
        <v>25</v>
      </c>
      <c r="S32" s="1725">
        <f t="shared" si="12"/>
        <v>100</v>
      </c>
      <c r="T32" s="1724" t="s">
        <v>25</v>
      </c>
      <c r="U32" s="1725">
        <f t="shared" si="13"/>
        <v>100</v>
      </c>
      <c r="V32" s="1724" t="s">
        <v>25</v>
      </c>
      <c r="W32" s="1725">
        <f t="shared" si="14"/>
        <v>100</v>
      </c>
      <c r="X32" s="2071"/>
      <c r="Y32" s="3542"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40"/>
      <c r="Q33" s="1764" t="str">
        <f t="shared" si="11"/>
        <v>项目建筑规模</v>
      </c>
      <c r="R33" s="1765" t="s">
        <v>25</v>
      </c>
      <c r="S33" s="1766" t="e">
        <f t="shared" si="12"/>
        <v>#N/A</v>
      </c>
      <c r="T33" s="1765" t="s">
        <v>25</v>
      </c>
      <c r="U33" s="1766" t="e">
        <f t="shared" si="13"/>
        <v>#N/A</v>
      </c>
      <c r="V33" s="1765" t="s">
        <v>25</v>
      </c>
      <c r="W33" s="1766" t="e">
        <f t="shared" si="14"/>
        <v>#N/A</v>
      </c>
      <c r="X33" s="1767"/>
      <c r="Y33" s="3542"/>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40"/>
      <c r="Q34" s="2068" t="str">
        <f t="shared" si="11"/>
        <v>建筑结构</v>
      </c>
      <c r="R34" s="1724" t="s">
        <v>25</v>
      </c>
      <c r="S34" s="1725">
        <f t="shared" si="12"/>
        <v>100</v>
      </c>
      <c r="T34" s="1724" t="s">
        <v>25</v>
      </c>
      <c r="U34" s="1725">
        <f t="shared" si="13"/>
        <v>100</v>
      </c>
      <c r="V34" s="1724" t="s">
        <v>25</v>
      </c>
      <c r="W34" s="1725">
        <f t="shared" si="14"/>
        <v>100</v>
      </c>
      <c r="X34" s="2071"/>
      <c r="Y34" s="3542"/>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40"/>
      <c r="Q35" s="2068" t="str">
        <f t="shared" si="11"/>
        <v>公共部分装修</v>
      </c>
      <c r="R35" s="1724" t="s">
        <v>25</v>
      </c>
      <c r="S35" s="1725">
        <f t="shared" si="12"/>
        <v>100</v>
      </c>
      <c r="T35" s="1724" t="s">
        <v>25</v>
      </c>
      <c r="U35" s="1725">
        <f t="shared" si="13"/>
        <v>100</v>
      </c>
      <c r="V35" s="1724" t="s">
        <v>25</v>
      </c>
      <c r="W35" s="1725">
        <f t="shared" si="14"/>
        <v>100</v>
      </c>
      <c r="X35" s="2071"/>
      <c r="Y35" s="3542"/>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40"/>
      <c r="Q36" s="2068" t="str">
        <f t="shared" si="11"/>
        <v>成新度</v>
      </c>
      <c r="R36" s="1724" t="s">
        <v>25</v>
      </c>
      <c r="S36" s="1725" t="e">
        <f t="shared" si="12"/>
        <v>#N/A</v>
      </c>
      <c r="T36" s="1724" t="s">
        <v>25</v>
      </c>
      <c r="U36" s="1725" t="e">
        <f t="shared" si="13"/>
        <v>#N/A</v>
      </c>
      <c r="V36" s="1724" t="s">
        <v>25</v>
      </c>
      <c r="W36" s="1725" t="e">
        <f t="shared" si="14"/>
        <v>#N/A</v>
      </c>
      <c r="X36" s="2071"/>
      <c r="Y36" s="3542"/>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40"/>
      <c r="Q37" s="2062" t="str">
        <f t="shared" si="11"/>
        <v>市政基础设施</v>
      </c>
      <c r="R37" s="1680" t="s">
        <v>25</v>
      </c>
      <c r="S37" s="1681">
        <f t="shared" si="12"/>
        <v>100</v>
      </c>
      <c r="T37" s="1680" t="s">
        <v>25</v>
      </c>
      <c r="U37" s="1681">
        <f t="shared" si="13"/>
        <v>100</v>
      </c>
      <c r="V37" s="1680" t="s">
        <v>25</v>
      </c>
      <c r="W37" s="1681">
        <f t="shared" si="14"/>
        <v>100</v>
      </c>
      <c r="X37" s="1682"/>
      <c r="Y37" s="3542"/>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40" t="s">
        <v>2277</v>
      </c>
      <c r="Q38" s="2068" t="str">
        <f t="shared" si="11"/>
        <v>业态</v>
      </c>
      <c r="R38" s="1724" t="s">
        <v>25</v>
      </c>
      <c r="S38" s="1725">
        <f t="shared" si="12"/>
        <v>100</v>
      </c>
      <c r="T38" s="1724" t="s">
        <v>25</v>
      </c>
      <c r="U38" s="1725">
        <f t="shared" si="13"/>
        <v>100</v>
      </c>
      <c r="V38" s="1724" t="s">
        <v>25</v>
      </c>
      <c r="W38" s="1725">
        <f t="shared" si="14"/>
        <v>100</v>
      </c>
      <c r="X38" s="2071"/>
      <c r="Y38" s="3542"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40"/>
      <c r="Q39" s="2068" t="str">
        <f t="shared" si="11"/>
        <v>层高</v>
      </c>
      <c r="R39" s="1724" t="s">
        <v>25</v>
      </c>
      <c r="S39" s="1725">
        <f t="shared" si="12"/>
        <v>100</v>
      </c>
      <c r="T39" s="1724" t="s">
        <v>25</v>
      </c>
      <c r="U39" s="1725">
        <f t="shared" si="13"/>
        <v>100</v>
      </c>
      <c r="V39" s="1724" t="s">
        <v>25</v>
      </c>
      <c r="W39" s="1725">
        <f t="shared" si="14"/>
        <v>100</v>
      </c>
      <c r="X39" s="2071"/>
      <c r="Y39" s="3542"/>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40"/>
      <c r="Q40" s="2068" t="str">
        <f t="shared" si="11"/>
        <v>单套建筑面积</v>
      </c>
      <c r="R40" s="1724" t="s">
        <v>25</v>
      </c>
      <c r="S40" s="1725">
        <f t="shared" si="12"/>
        <v>100</v>
      </c>
      <c r="T40" s="1724" t="s">
        <v>25</v>
      </c>
      <c r="U40" s="1725">
        <f t="shared" si="13"/>
        <v>100</v>
      </c>
      <c r="V40" s="1724" t="s">
        <v>25</v>
      </c>
      <c r="W40" s="1725">
        <f t="shared" si="14"/>
        <v>100</v>
      </c>
      <c r="X40" s="2071"/>
      <c r="Y40" s="3542"/>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40"/>
      <c r="Q41" s="1764" t="str">
        <f t="shared" si="11"/>
        <v>进深比</v>
      </c>
      <c r="R41" s="1765" t="s">
        <v>25</v>
      </c>
      <c r="S41" s="1766">
        <f t="shared" si="12"/>
        <v>100</v>
      </c>
      <c r="T41" s="1765" t="s">
        <v>25</v>
      </c>
      <c r="U41" s="1766">
        <f t="shared" si="13"/>
        <v>100</v>
      </c>
      <c r="V41" s="1765" t="s">
        <v>25</v>
      </c>
      <c r="W41" s="1766">
        <f t="shared" si="14"/>
        <v>100</v>
      </c>
      <c r="X41" s="1767"/>
      <c r="Y41" s="3542"/>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40"/>
      <c r="Q42" s="2068" t="str">
        <f t="shared" si="11"/>
        <v>内部装修</v>
      </c>
      <c r="R42" s="1724" t="s">
        <v>25</v>
      </c>
      <c r="S42" s="1725">
        <f t="shared" si="12"/>
        <v>100</v>
      </c>
      <c r="T42" s="1724" t="s">
        <v>25</v>
      </c>
      <c r="U42" s="1725">
        <f t="shared" si="13"/>
        <v>100</v>
      </c>
      <c r="V42" s="1724" t="s">
        <v>25</v>
      </c>
      <c r="W42" s="1725">
        <f t="shared" si="14"/>
        <v>100</v>
      </c>
      <c r="X42" s="2071"/>
      <c r="Y42" s="3542"/>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40"/>
      <c r="Q43" s="2068" t="str">
        <f t="shared" si="11"/>
        <v>内部装修维护情况</v>
      </c>
      <c r="R43" s="1724" t="s">
        <v>25</v>
      </c>
      <c r="S43" s="1725">
        <f t="shared" si="12"/>
        <v>100</v>
      </c>
      <c r="T43" s="1724" t="s">
        <v>25</v>
      </c>
      <c r="U43" s="1725">
        <f t="shared" si="13"/>
        <v>100</v>
      </c>
      <c r="V43" s="1724" t="s">
        <v>25</v>
      </c>
      <c r="W43" s="1725">
        <f t="shared" si="14"/>
        <v>100</v>
      </c>
      <c r="X43" s="2071"/>
      <c r="Y43" s="3542"/>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40"/>
      <c r="Q44" s="2062">
        <f t="shared" si="11"/>
        <v>111</v>
      </c>
      <c r="R44" s="1680" t="s">
        <v>25</v>
      </c>
      <c r="S44" s="1681">
        <f t="shared" si="12"/>
        <v>100</v>
      </c>
      <c r="T44" s="1680" t="s">
        <v>25</v>
      </c>
      <c r="U44" s="1681">
        <f t="shared" si="13"/>
        <v>100</v>
      </c>
      <c r="V44" s="1680" t="s">
        <v>25</v>
      </c>
      <c r="W44" s="1681">
        <f t="shared" si="14"/>
        <v>100</v>
      </c>
      <c r="X44" s="1682"/>
      <c r="Y44" s="3542"/>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40"/>
      <c r="Q45" s="2068">
        <f t="shared" si="11"/>
        <v>111</v>
      </c>
      <c r="R45" s="1724" t="s">
        <v>25</v>
      </c>
      <c r="S45" s="1725">
        <f t="shared" si="12"/>
        <v>100</v>
      </c>
      <c r="T45" s="1724" t="s">
        <v>25</v>
      </c>
      <c r="U45" s="1725">
        <f t="shared" si="13"/>
        <v>100</v>
      </c>
      <c r="V45" s="1724" t="s">
        <v>25</v>
      </c>
      <c r="W45" s="1725">
        <f t="shared" si="14"/>
        <v>100</v>
      </c>
      <c r="X45" s="2071"/>
      <c r="Y45" s="3542"/>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41"/>
      <c r="Q46" s="2068">
        <f t="shared" si="11"/>
        <v>111</v>
      </c>
      <c r="R46" s="1724" t="s">
        <v>25</v>
      </c>
      <c r="S46" s="1725">
        <f t="shared" si="12"/>
        <v>100</v>
      </c>
      <c r="T46" s="1724" t="s">
        <v>25</v>
      </c>
      <c r="U46" s="1725">
        <f t="shared" si="13"/>
        <v>100</v>
      </c>
      <c r="V46" s="1724" t="s">
        <v>25</v>
      </c>
      <c r="W46" s="1725">
        <f t="shared" si="14"/>
        <v>100</v>
      </c>
      <c r="X46" s="2071"/>
      <c r="Y46" s="3543"/>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34" t="str">
        <f>A47</f>
        <v>成交单价（元/平方米）</v>
      </c>
      <c r="Q47" s="3534"/>
      <c r="R47" s="3530">
        <f>E47</f>
        <v>0</v>
      </c>
      <c r="S47" s="3530"/>
      <c r="T47" s="3530">
        <f>G47</f>
        <v>0</v>
      </c>
      <c r="U47" s="3530"/>
      <c r="V47" s="3530">
        <f>I47</f>
        <v>0</v>
      </c>
      <c r="W47" s="3530"/>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34" t="str">
        <f>A48</f>
        <v>比较价值（元/平方米）</v>
      </c>
      <c r="Q48" s="3534"/>
      <c r="R48" s="3530" t="e">
        <f>IF(E1="售价",ROUND(PRODUCT(R47,AA7:AA46),0),ROUND(PRODUCT(R47,AA7:AA46),1))</f>
        <v>#DIV/0!</v>
      </c>
      <c r="S48" s="3530"/>
      <c r="T48" s="3530" t="e">
        <f>IF(E1="售价",ROUND(PRODUCT(T47,AB7:AB46),0),ROUND(PRODUCT(T47,AB7:AB46),1))</f>
        <v>#DIV/0!</v>
      </c>
      <c r="U48" s="3530"/>
      <c r="V48" s="3530" t="e">
        <f>IF(E1="售价",ROUND(PRODUCT(V47,AC7:AC46),0),ROUND(PRODUCT(V47,AC7:AC46),1))</f>
        <v>#DIV/0!</v>
      </c>
      <c r="W48" s="3530"/>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31" t="str">
        <f>A49</f>
        <v>估价对象XX用房的比较价值（楼面单价，元/平方米）</v>
      </c>
      <c r="Q49" s="3532"/>
      <c r="R49" s="3533" t="e">
        <f>IF(E1="售价",ROUND(IF(D48="简单平均",AVERAGE(R48:V48),R48*F48+T48*H48+V48*J48),0),ROUND(IF(D48="简单平均",AVERAGE(R48:V48),R48*F48+T48*H48+V48*J48),1))</f>
        <v>#DIV/0!</v>
      </c>
      <c r="S49" s="3533"/>
      <c r="T49" s="3533"/>
      <c r="U49" s="3533"/>
      <c r="V49" s="3533"/>
      <c r="W49" s="3533"/>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2013-6</v>
      </c>
      <c r="D58" s="1822">
        <f>EDATE(C58,-1)</f>
        <v>41395</v>
      </c>
      <c r="E58" s="1822">
        <f t="shared" ref="E58:O58" si="16">EDATE(D58,-1)</f>
        <v>41365</v>
      </c>
      <c r="F58" s="1822">
        <f t="shared" si="16"/>
        <v>41334</v>
      </c>
      <c r="G58" s="1822">
        <f t="shared" si="16"/>
        <v>41306</v>
      </c>
      <c r="H58" s="1822">
        <f t="shared" si="16"/>
        <v>41275</v>
      </c>
      <c r="I58" s="1822">
        <f t="shared" si="16"/>
        <v>41244</v>
      </c>
      <c r="J58" s="1822">
        <f t="shared" si="16"/>
        <v>41214</v>
      </c>
      <c r="K58" s="1822">
        <f t="shared" si="16"/>
        <v>41183</v>
      </c>
      <c r="L58" s="1822">
        <f t="shared" si="16"/>
        <v>41153</v>
      </c>
      <c r="M58" s="1822">
        <f t="shared" si="16"/>
        <v>41122</v>
      </c>
      <c r="N58" s="1822">
        <f t="shared" si="16"/>
        <v>41091</v>
      </c>
      <c r="O58" s="1822">
        <f t="shared" si="16"/>
        <v>41061</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126.61</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61" t="s">
        <v>2248</v>
      </c>
      <c r="D4" s="3562"/>
      <c r="E4" s="3563" t="s">
        <v>2249</v>
      </c>
      <c r="F4" s="3564"/>
      <c r="G4" s="3561" t="s">
        <v>2250</v>
      </c>
      <c r="H4" s="3562"/>
      <c r="I4" s="3561" t="s">
        <v>2251</v>
      </c>
      <c r="J4" s="3562"/>
      <c r="K4" s="1962" t="s">
        <v>2252</v>
      </c>
      <c r="L4" s="2991"/>
      <c r="M4" s="2992"/>
      <c r="N4" s="2992"/>
      <c r="O4" s="2992"/>
      <c r="P4" s="3565" t="s">
        <v>2253</v>
      </c>
      <c r="Q4" s="3566"/>
      <c r="R4" s="3550" t="s">
        <v>2249</v>
      </c>
      <c r="S4" s="3551"/>
      <c r="T4" s="3550" t="s">
        <v>2250</v>
      </c>
      <c r="U4" s="3551"/>
      <c r="V4" s="3571" t="s">
        <v>2251</v>
      </c>
      <c r="W4" s="3571"/>
      <c r="X4" s="2071"/>
      <c r="Y4" s="3550" t="s">
        <v>2253</v>
      </c>
      <c r="Z4" s="3551"/>
      <c r="AA4" s="3558" t="s">
        <v>2249</v>
      </c>
      <c r="AB4" s="3558" t="s">
        <v>2250</v>
      </c>
      <c r="AC4" s="3558" t="s">
        <v>2251</v>
      </c>
    </row>
    <row r="5" spans="1:29" ht="15">
      <c r="A5" s="1667"/>
      <c r="B5" s="1668"/>
      <c r="C5" s="3572" t="s">
        <v>2254</v>
      </c>
      <c r="D5" s="3547"/>
      <c r="E5" s="3575" t="s">
        <v>2255</v>
      </c>
      <c r="F5" s="3576"/>
      <c r="G5" s="3572" t="s">
        <v>2256</v>
      </c>
      <c r="H5" s="3547"/>
      <c r="I5" s="3572" t="s">
        <v>2257</v>
      </c>
      <c r="J5" s="3547"/>
      <c r="K5" s="1962"/>
      <c r="L5" s="2991"/>
      <c r="M5" s="2992"/>
      <c r="N5" s="2992"/>
      <c r="O5" s="2992"/>
      <c r="P5" s="3567"/>
      <c r="Q5" s="3568"/>
      <c r="R5" s="3552"/>
      <c r="S5" s="3553"/>
      <c r="T5" s="3552"/>
      <c r="U5" s="3553"/>
      <c r="V5" s="3571"/>
      <c r="W5" s="3571"/>
      <c r="X5" s="2071"/>
      <c r="Y5" s="3552"/>
      <c r="Z5" s="3553"/>
      <c r="AA5" s="3559"/>
      <c r="AB5" s="3559"/>
      <c r="AC5" s="3559"/>
    </row>
    <row r="6" spans="1:29" ht="15.75" thickBot="1">
      <c r="A6" s="1670"/>
      <c r="B6" s="1671"/>
      <c r="C6" s="3544" t="s">
        <v>2258</v>
      </c>
      <c r="D6" s="3545"/>
      <c r="E6" s="3573" t="s">
        <v>2258</v>
      </c>
      <c r="F6" s="3574"/>
      <c r="G6" s="3544" t="s">
        <v>2258</v>
      </c>
      <c r="H6" s="3545"/>
      <c r="I6" s="3544" t="s">
        <v>2258</v>
      </c>
      <c r="J6" s="3545"/>
      <c r="K6" s="1962" t="s">
        <v>2259</v>
      </c>
      <c r="L6" s="2991"/>
      <c r="M6" s="2992"/>
      <c r="N6" s="2992"/>
      <c r="O6" s="2992"/>
      <c r="P6" s="3569"/>
      <c r="Q6" s="3570"/>
      <c r="R6" s="3552"/>
      <c r="S6" s="3553"/>
      <c r="T6" s="3554"/>
      <c r="U6" s="3555"/>
      <c r="V6" s="3571"/>
      <c r="W6" s="3571"/>
      <c r="X6" s="2071"/>
      <c r="Y6" s="3554"/>
      <c r="Z6" s="3555"/>
      <c r="AA6" s="3560"/>
      <c r="AB6" s="3560"/>
      <c r="AC6" s="3560"/>
    </row>
    <row r="7" spans="1:29" s="1684" customFormat="1" ht="15.75" thickBot="1">
      <c r="A7" s="1672" t="s">
        <v>2260</v>
      </c>
      <c r="B7" s="1673"/>
      <c r="C7" s="1674">
        <f>'数据-取费表'!B2</f>
        <v>41443</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48" t="s">
        <v>2261</v>
      </c>
      <c r="Q7" s="3556"/>
      <c r="R7" s="1680" t="s">
        <v>25</v>
      </c>
      <c r="S7" s="1681">
        <f t="shared" ref="S7:S15" si="0">F7</f>
        <v>0</v>
      </c>
      <c r="T7" s="1680" t="s">
        <v>25</v>
      </c>
      <c r="U7" s="1681">
        <f t="shared" ref="U7:U15" si="1">H7</f>
        <v>0</v>
      </c>
      <c r="V7" s="1680" t="s">
        <v>25</v>
      </c>
      <c r="W7" s="1681">
        <f t="shared" ref="W7:W15" si="2">J7</f>
        <v>0</v>
      </c>
      <c r="X7" s="1682"/>
      <c r="Y7" s="3548" t="s">
        <v>2261</v>
      </c>
      <c r="Z7" s="3549"/>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48" t="s">
        <v>2264</v>
      </c>
      <c r="Q8" s="3549"/>
      <c r="R8" s="1680" t="s">
        <v>25</v>
      </c>
      <c r="S8" s="1681">
        <f t="shared" si="0"/>
        <v>0</v>
      </c>
      <c r="T8" s="1680" t="s">
        <v>25</v>
      </c>
      <c r="U8" s="1681">
        <f t="shared" si="1"/>
        <v>0</v>
      </c>
      <c r="V8" s="1680" t="s">
        <v>25</v>
      </c>
      <c r="W8" s="1681">
        <f t="shared" si="2"/>
        <v>0</v>
      </c>
      <c r="X8" s="1682"/>
      <c r="Y8" s="3548" t="s">
        <v>2264</v>
      </c>
      <c r="Z8" s="3549"/>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34" t="s">
        <v>2267</v>
      </c>
      <c r="Q9" s="2909" t="str">
        <f t="shared" ref="Q9:Q15" si="6">B9</f>
        <v>用途</v>
      </c>
      <c r="R9" s="1680" t="s">
        <v>25</v>
      </c>
      <c r="S9" s="1681">
        <f t="shared" si="0"/>
        <v>100</v>
      </c>
      <c r="T9" s="1680" t="s">
        <v>25</v>
      </c>
      <c r="U9" s="1681">
        <f t="shared" si="1"/>
        <v>100</v>
      </c>
      <c r="V9" s="1680" t="s">
        <v>25</v>
      </c>
      <c r="W9" s="1681">
        <f t="shared" si="2"/>
        <v>100</v>
      </c>
      <c r="X9" s="1682"/>
      <c r="Y9" s="3367"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34"/>
      <c r="Q10" s="2909" t="str">
        <f t="shared" si="6"/>
        <v>土地使用年限（年）</v>
      </c>
      <c r="R10" s="1680" t="s">
        <v>25</v>
      </c>
      <c r="S10" s="1681">
        <f t="shared" si="0"/>
        <v>100</v>
      </c>
      <c r="T10" s="1680" t="s">
        <v>25</v>
      </c>
      <c r="U10" s="1681">
        <f t="shared" si="1"/>
        <v>100</v>
      </c>
      <c r="V10" s="1680" t="s">
        <v>25</v>
      </c>
      <c r="W10" s="1681">
        <f t="shared" si="2"/>
        <v>100</v>
      </c>
      <c r="X10" s="1682"/>
      <c r="Y10" s="3367"/>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34"/>
      <c r="Q11" s="2909" t="str">
        <f t="shared" si="6"/>
        <v>容积率</v>
      </c>
      <c r="R11" s="1680" t="s">
        <v>25</v>
      </c>
      <c r="S11" s="1681" t="e">
        <f t="shared" si="0"/>
        <v>#N/A</v>
      </c>
      <c r="T11" s="1680" t="s">
        <v>25</v>
      </c>
      <c r="U11" s="1681" t="e">
        <f t="shared" si="1"/>
        <v>#N/A</v>
      </c>
      <c r="V11" s="1680" t="s">
        <v>25</v>
      </c>
      <c r="W11" s="1681" t="e">
        <f t="shared" si="2"/>
        <v>#N/A</v>
      </c>
      <c r="X11" s="1682"/>
      <c r="Y11" s="3367"/>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34"/>
      <c r="Q12" s="2909">
        <f t="shared" si="6"/>
        <v>111</v>
      </c>
      <c r="R12" s="1680" t="s">
        <v>25</v>
      </c>
      <c r="S12" s="1681">
        <f t="shared" si="0"/>
        <v>100</v>
      </c>
      <c r="T12" s="1680" t="s">
        <v>25</v>
      </c>
      <c r="U12" s="1681">
        <f t="shared" si="1"/>
        <v>100</v>
      </c>
      <c r="V12" s="1680" t="s">
        <v>25</v>
      </c>
      <c r="W12" s="1681">
        <f t="shared" si="2"/>
        <v>100</v>
      </c>
      <c r="X12" s="1682"/>
      <c r="Y12" s="3367"/>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34"/>
      <c r="Q13" s="2909">
        <f t="shared" si="6"/>
        <v>111</v>
      </c>
      <c r="R13" s="1680" t="s">
        <v>25</v>
      </c>
      <c r="S13" s="1681">
        <f t="shared" si="0"/>
        <v>100</v>
      </c>
      <c r="T13" s="1680" t="s">
        <v>25</v>
      </c>
      <c r="U13" s="1681">
        <f t="shared" si="1"/>
        <v>100</v>
      </c>
      <c r="V13" s="1680" t="s">
        <v>25</v>
      </c>
      <c r="W13" s="1681">
        <f t="shared" si="2"/>
        <v>100</v>
      </c>
      <c r="X13" s="1682"/>
      <c r="Y13" s="3367"/>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34"/>
      <c r="Q14" s="2909">
        <f t="shared" si="6"/>
        <v>111</v>
      </c>
      <c r="R14" s="1680" t="s">
        <v>25</v>
      </c>
      <c r="S14" s="1681">
        <f t="shared" si="0"/>
        <v>100</v>
      </c>
      <c r="T14" s="1680" t="s">
        <v>25</v>
      </c>
      <c r="U14" s="1681">
        <f t="shared" si="1"/>
        <v>100</v>
      </c>
      <c r="V14" s="1680" t="s">
        <v>25</v>
      </c>
      <c r="W14" s="1681">
        <f t="shared" si="2"/>
        <v>100</v>
      </c>
      <c r="X14" s="1682"/>
      <c r="Y14" s="3367"/>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37" t="s">
        <v>2272</v>
      </c>
      <c r="Q15" s="2910" t="str">
        <f t="shared" si="6"/>
        <v>办公集聚程度</v>
      </c>
      <c r="R15" s="1724" t="s">
        <v>25</v>
      </c>
      <c r="S15" s="1725">
        <f t="shared" si="0"/>
        <v>100</v>
      </c>
      <c r="T15" s="1724" t="s">
        <v>25</v>
      </c>
      <c r="U15" s="1725">
        <f t="shared" si="1"/>
        <v>100</v>
      </c>
      <c r="V15" s="1724" t="s">
        <v>25</v>
      </c>
      <c r="W15" s="1725">
        <f t="shared" si="2"/>
        <v>100</v>
      </c>
      <c r="X15" s="2071"/>
      <c r="Y15" s="3537"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38"/>
      <c r="Q16" s="2910"/>
      <c r="R16" s="1724"/>
      <c r="S16" s="1725"/>
      <c r="T16" s="1724"/>
      <c r="U16" s="1725"/>
      <c r="V16" s="1724"/>
      <c r="W16" s="1725"/>
      <c r="X16" s="2071"/>
      <c r="Y16" s="3538"/>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38"/>
      <c r="Q17" s="2910" t="str">
        <f>B17</f>
        <v>交通便捷度</v>
      </c>
      <c r="R17" s="1724" t="s">
        <v>25</v>
      </c>
      <c r="S17" s="1725">
        <f>F17</f>
        <v>100</v>
      </c>
      <c r="T17" s="1724" t="s">
        <v>25</v>
      </c>
      <c r="U17" s="1725">
        <f>H17</f>
        <v>100</v>
      </c>
      <c r="V17" s="1724" t="s">
        <v>25</v>
      </c>
      <c r="W17" s="1725">
        <f>J17</f>
        <v>100</v>
      </c>
      <c r="X17" s="2071"/>
      <c r="Y17" s="3538"/>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38"/>
      <c r="Q18" s="2910"/>
      <c r="R18" s="1724"/>
      <c r="S18" s="1725"/>
      <c r="T18" s="1724"/>
      <c r="U18" s="1725"/>
      <c r="V18" s="1724"/>
      <c r="W18" s="1725"/>
      <c r="X18" s="2071"/>
      <c r="Y18" s="3538"/>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38"/>
      <c r="Q19" s="2910" t="str">
        <f>B19</f>
        <v>公共配套设施</v>
      </c>
      <c r="R19" s="1724" t="s">
        <v>25</v>
      </c>
      <c r="S19" s="1725">
        <f>F19</f>
        <v>100</v>
      </c>
      <c r="T19" s="1724" t="s">
        <v>25</v>
      </c>
      <c r="U19" s="1725">
        <f>H19</f>
        <v>100</v>
      </c>
      <c r="V19" s="1724" t="s">
        <v>25</v>
      </c>
      <c r="W19" s="1725">
        <f>J19</f>
        <v>100</v>
      </c>
      <c r="X19" s="2071"/>
      <c r="Y19" s="3538"/>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38"/>
      <c r="Q20" s="2910"/>
      <c r="R20" s="1724"/>
      <c r="S20" s="1725"/>
      <c r="T20" s="1724"/>
      <c r="U20" s="1725"/>
      <c r="V20" s="1724"/>
      <c r="W20" s="1725"/>
      <c r="X20" s="2071"/>
      <c r="Y20" s="3538"/>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38"/>
      <c r="Q21" s="2910" t="str">
        <f>B21</f>
        <v>基础设施水平</v>
      </c>
      <c r="R21" s="1724" t="s">
        <v>25</v>
      </c>
      <c r="S21" s="1725">
        <f>F21</f>
        <v>100</v>
      </c>
      <c r="T21" s="1724" t="s">
        <v>25</v>
      </c>
      <c r="U21" s="1725">
        <f>H21</f>
        <v>100</v>
      </c>
      <c r="V21" s="1724" t="s">
        <v>25</v>
      </c>
      <c r="W21" s="1725">
        <f>J21</f>
        <v>100</v>
      </c>
      <c r="X21" s="2071"/>
      <c r="Y21" s="3538"/>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38"/>
      <c r="Q22" s="2910"/>
      <c r="R22" s="1724"/>
      <c r="S22" s="1725"/>
      <c r="T22" s="1724"/>
      <c r="U22" s="1725"/>
      <c r="V22" s="1724"/>
      <c r="W22" s="1725"/>
      <c r="X22" s="2071"/>
      <c r="Y22" s="3538"/>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38"/>
      <c r="Q23" s="2910" t="str">
        <f>B23</f>
        <v>环境质量</v>
      </c>
      <c r="R23" s="1724" t="s">
        <v>25</v>
      </c>
      <c r="S23" s="1725">
        <f>F23</f>
        <v>100</v>
      </c>
      <c r="T23" s="1724" t="s">
        <v>25</v>
      </c>
      <c r="U23" s="1725">
        <f>H23</f>
        <v>100</v>
      </c>
      <c r="V23" s="1724" t="s">
        <v>25</v>
      </c>
      <c r="W23" s="1725">
        <f>J23</f>
        <v>100</v>
      </c>
      <c r="X23" s="2071"/>
      <c r="Y23" s="3538"/>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38"/>
      <c r="Q24" s="2910"/>
      <c r="R24" s="1724"/>
      <c r="S24" s="1725"/>
      <c r="T24" s="1724"/>
      <c r="U24" s="1725"/>
      <c r="V24" s="1724"/>
      <c r="W24" s="1725"/>
      <c r="X24" s="2071"/>
      <c r="Y24" s="3538"/>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38"/>
      <c r="Q25" s="2910" t="str">
        <f>B25</f>
        <v>毗邻道路的类型与等级</v>
      </c>
      <c r="R25" s="1724" t="s">
        <v>25</v>
      </c>
      <c r="S25" s="1725">
        <f>F25</f>
        <v>100</v>
      </c>
      <c r="T25" s="1724" t="s">
        <v>25</v>
      </c>
      <c r="U25" s="1725">
        <f>H25</f>
        <v>100</v>
      </c>
      <c r="V25" s="1724" t="s">
        <v>25</v>
      </c>
      <c r="W25" s="1725">
        <f>J25</f>
        <v>100</v>
      </c>
      <c r="X25" s="2071"/>
      <c r="Y25" s="3538"/>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38"/>
      <c r="Q26" s="2910"/>
      <c r="R26" s="1724"/>
      <c r="S26" s="1725"/>
      <c r="T26" s="1724"/>
      <c r="U26" s="1725"/>
      <c r="V26" s="1724"/>
      <c r="W26" s="1725"/>
      <c r="X26" s="2071"/>
      <c r="Y26" s="3538"/>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38"/>
      <c r="Q27" s="2910" t="str">
        <f t="shared" ref="Q27:Q47" si="11">B27</f>
        <v>楼层</v>
      </c>
      <c r="R27" s="1724" t="s">
        <v>25</v>
      </c>
      <c r="S27" s="1725">
        <f>F27</f>
        <v>100</v>
      </c>
      <c r="T27" s="1724" t="s">
        <v>25</v>
      </c>
      <c r="U27" s="1725">
        <f>H27</f>
        <v>100</v>
      </c>
      <c r="V27" s="1724" t="s">
        <v>25</v>
      </c>
      <c r="W27" s="1725">
        <f>J27</f>
        <v>100</v>
      </c>
      <c r="X27" s="2071"/>
      <c r="Y27" s="3538"/>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38"/>
      <c r="Q28" s="2909" t="str">
        <f t="shared" si="11"/>
        <v>朝向</v>
      </c>
      <c r="R28" s="1680" t="s">
        <v>25</v>
      </c>
      <c r="S28" s="1681">
        <f>F28</f>
        <v>100</v>
      </c>
      <c r="T28" s="1680" t="s">
        <v>25</v>
      </c>
      <c r="U28" s="1681">
        <f>H28</f>
        <v>100</v>
      </c>
      <c r="V28" s="1680" t="s">
        <v>25</v>
      </c>
      <c r="W28" s="1681">
        <f>J28</f>
        <v>100</v>
      </c>
      <c r="X28" s="1682"/>
      <c r="Y28" s="3538"/>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38"/>
      <c r="Q29" s="2910">
        <f t="shared" si="11"/>
        <v>111</v>
      </c>
      <c r="R29" s="1724" t="s">
        <v>25</v>
      </c>
      <c r="S29" s="1725">
        <f t="shared" ref="S29:S47" si="12">F29</f>
        <v>100</v>
      </c>
      <c r="T29" s="1724" t="s">
        <v>25</v>
      </c>
      <c r="U29" s="1725">
        <f t="shared" ref="U29:U47" si="13">H29</f>
        <v>100</v>
      </c>
      <c r="V29" s="1724" t="s">
        <v>25</v>
      </c>
      <c r="W29" s="1725">
        <f t="shared" ref="W29:W47" si="14">J29</f>
        <v>100</v>
      </c>
      <c r="X29" s="2071"/>
      <c r="Y29" s="3538"/>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38"/>
      <c r="Q30" s="2910">
        <f t="shared" si="11"/>
        <v>111</v>
      </c>
      <c r="R30" s="1724" t="s">
        <v>25</v>
      </c>
      <c r="S30" s="1725">
        <f t="shared" si="12"/>
        <v>100</v>
      </c>
      <c r="T30" s="1724" t="s">
        <v>25</v>
      </c>
      <c r="U30" s="1725">
        <f t="shared" si="13"/>
        <v>100</v>
      </c>
      <c r="V30" s="1724" t="s">
        <v>25</v>
      </c>
      <c r="W30" s="1725">
        <f t="shared" si="14"/>
        <v>100</v>
      </c>
      <c r="X30" s="2071"/>
      <c r="Y30" s="3538"/>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38"/>
      <c r="Q31" s="2910">
        <f t="shared" si="11"/>
        <v>111</v>
      </c>
      <c r="R31" s="1724" t="s">
        <v>25</v>
      </c>
      <c r="S31" s="1725">
        <f t="shared" si="12"/>
        <v>100</v>
      </c>
      <c r="T31" s="1724" t="s">
        <v>25</v>
      </c>
      <c r="U31" s="1725">
        <f t="shared" si="13"/>
        <v>100</v>
      </c>
      <c r="V31" s="1724" t="s">
        <v>25</v>
      </c>
      <c r="W31" s="1725">
        <f t="shared" si="14"/>
        <v>100</v>
      </c>
      <c r="X31" s="2071"/>
      <c r="Y31" s="3538"/>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38"/>
      <c r="Q32" s="2910">
        <f t="shared" si="11"/>
        <v>111</v>
      </c>
      <c r="R32" s="1724" t="s">
        <v>25</v>
      </c>
      <c r="S32" s="1725">
        <f t="shared" si="12"/>
        <v>100</v>
      </c>
      <c r="T32" s="1724" t="s">
        <v>25</v>
      </c>
      <c r="U32" s="1725">
        <f t="shared" si="13"/>
        <v>100</v>
      </c>
      <c r="V32" s="1724" t="s">
        <v>25</v>
      </c>
      <c r="W32" s="1725">
        <f t="shared" si="14"/>
        <v>100</v>
      </c>
      <c r="X32" s="2071"/>
      <c r="Y32" s="3538"/>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7" t="s">
        <v>2277</v>
      </c>
      <c r="Q33" s="2910" t="str">
        <f t="shared" si="11"/>
        <v>建筑类型</v>
      </c>
      <c r="R33" s="1724" t="s">
        <v>25</v>
      </c>
      <c r="S33" s="1725">
        <f t="shared" si="12"/>
        <v>100</v>
      </c>
      <c r="T33" s="1724" t="s">
        <v>25</v>
      </c>
      <c r="U33" s="1725">
        <f t="shared" si="13"/>
        <v>100</v>
      </c>
      <c r="V33" s="1724" t="s">
        <v>25</v>
      </c>
      <c r="W33" s="1725">
        <f t="shared" si="14"/>
        <v>100</v>
      </c>
      <c r="X33" s="2071"/>
      <c r="Y33" s="3542"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42"/>
      <c r="Q34" s="1764" t="str">
        <f t="shared" si="11"/>
        <v>项目建筑规模</v>
      </c>
      <c r="R34" s="1765" t="s">
        <v>25</v>
      </c>
      <c r="S34" s="1766" t="e">
        <f t="shared" si="12"/>
        <v>#N/A</v>
      </c>
      <c r="T34" s="1765" t="s">
        <v>25</v>
      </c>
      <c r="U34" s="1766" t="e">
        <f t="shared" si="13"/>
        <v>#N/A</v>
      </c>
      <c r="V34" s="1765" t="s">
        <v>25</v>
      </c>
      <c r="W34" s="1766" t="e">
        <f t="shared" si="14"/>
        <v>#N/A</v>
      </c>
      <c r="X34" s="1767"/>
      <c r="Y34" s="3542"/>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42"/>
      <c r="Q35" s="2910" t="str">
        <f t="shared" si="11"/>
        <v>建筑结构</v>
      </c>
      <c r="R35" s="1724" t="s">
        <v>25</v>
      </c>
      <c r="S35" s="1725">
        <f t="shared" si="12"/>
        <v>100</v>
      </c>
      <c r="T35" s="1724" t="s">
        <v>25</v>
      </c>
      <c r="U35" s="1725">
        <f t="shared" si="13"/>
        <v>100</v>
      </c>
      <c r="V35" s="1724" t="s">
        <v>25</v>
      </c>
      <c r="W35" s="1725">
        <f t="shared" si="14"/>
        <v>100</v>
      </c>
      <c r="X35" s="2071"/>
      <c r="Y35" s="3542"/>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42"/>
      <c r="Q36" s="2910" t="str">
        <f t="shared" si="11"/>
        <v>公共部分装修</v>
      </c>
      <c r="R36" s="1724" t="s">
        <v>25</v>
      </c>
      <c r="S36" s="1725">
        <f t="shared" si="12"/>
        <v>100</v>
      </c>
      <c r="T36" s="1724" t="s">
        <v>25</v>
      </c>
      <c r="U36" s="1725">
        <f t="shared" si="13"/>
        <v>100</v>
      </c>
      <c r="V36" s="1724" t="s">
        <v>25</v>
      </c>
      <c r="W36" s="1725">
        <f t="shared" si="14"/>
        <v>100</v>
      </c>
      <c r="X36" s="2071"/>
      <c r="Y36" s="3542"/>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42"/>
      <c r="Q37" s="2910" t="str">
        <f t="shared" si="11"/>
        <v>成新度</v>
      </c>
      <c r="R37" s="1724" t="s">
        <v>25</v>
      </c>
      <c r="S37" s="1725" t="e">
        <f t="shared" si="12"/>
        <v>#N/A</v>
      </c>
      <c r="T37" s="1724" t="s">
        <v>25</v>
      </c>
      <c r="U37" s="1725" t="e">
        <f t="shared" si="13"/>
        <v>#N/A</v>
      </c>
      <c r="V37" s="1724" t="s">
        <v>25</v>
      </c>
      <c r="W37" s="1725" t="e">
        <f t="shared" si="14"/>
        <v>#N/A</v>
      </c>
      <c r="X37" s="2071"/>
      <c r="Y37" s="3542"/>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42"/>
      <c r="Q38" s="2909" t="str">
        <f t="shared" si="11"/>
        <v>写字楼等级</v>
      </c>
      <c r="R38" s="1680" t="s">
        <v>25</v>
      </c>
      <c r="S38" s="1681">
        <f t="shared" si="12"/>
        <v>100</v>
      </c>
      <c r="T38" s="1680" t="s">
        <v>25</v>
      </c>
      <c r="U38" s="1681">
        <f t="shared" si="13"/>
        <v>100</v>
      </c>
      <c r="V38" s="1680" t="s">
        <v>25</v>
      </c>
      <c r="W38" s="1681">
        <f t="shared" si="14"/>
        <v>100</v>
      </c>
      <c r="X38" s="1682"/>
      <c r="Y38" s="3542"/>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42" t="s">
        <v>2277</v>
      </c>
      <c r="Q39" s="2910" t="str">
        <f t="shared" si="11"/>
        <v>物业管理</v>
      </c>
      <c r="R39" s="1724" t="s">
        <v>25</v>
      </c>
      <c r="S39" s="1725">
        <f t="shared" si="12"/>
        <v>100</v>
      </c>
      <c r="T39" s="1724" t="s">
        <v>25</v>
      </c>
      <c r="U39" s="1725">
        <f t="shared" si="13"/>
        <v>100</v>
      </c>
      <c r="V39" s="1724" t="s">
        <v>25</v>
      </c>
      <c r="W39" s="1725">
        <f t="shared" si="14"/>
        <v>100</v>
      </c>
      <c r="X39" s="2071"/>
      <c r="Y39" s="3542"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42"/>
      <c r="Q40" s="2910" t="str">
        <f t="shared" si="11"/>
        <v>市政基础设施</v>
      </c>
      <c r="R40" s="1724" t="s">
        <v>25</v>
      </c>
      <c r="S40" s="1725">
        <f t="shared" si="12"/>
        <v>100</v>
      </c>
      <c r="T40" s="1724" t="s">
        <v>25</v>
      </c>
      <c r="U40" s="1725">
        <f t="shared" si="13"/>
        <v>100</v>
      </c>
      <c r="V40" s="1724" t="s">
        <v>25</v>
      </c>
      <c r="W40" s="1725">
        <f t="shared" si="14"/>
        <v>100</v>
      </c>
      <c r="X40" s="2071"/>
      <c r="Y40" s="3542"/>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42"/>
      <c r="Q41" s="2910" t="str">
        <f t="shared" si="11"/>
        <v>层高</v>
      </c>
      <c r="R41" s="1724" t="s">
        <v>25</v>
      </c>
      <c r="S41" s="1725">
        <f t="shared" si="12"/>
        <v>100</v>
      </c>
      <c r="T41" s="1724" t="s">
        <v>25</v>
      </c>
      <c r="U41" s="1725">
        <f t="shared" si="13"/>
        <v>100</v>
      </c>
      <c r="V41" s="1724" t="s">
        <v>25</v>
      </c>
      <c r="W41" s="1725">
        <f t="shared" si="14"/>
        <v>100</v>
      </c>
      <c r="X41" s="2071"/>
      <c r="Y41" s="3542"/>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42"/>
      <c r="Q42" s="1764" t="str">
        <f t="shared" si="11"/>
        <v>单套建筑面积</v>
      </c>
      <c r="R42" s="1765" t="s">
        <v>25</v>
      </c>
      <c r="S42" s="1766">
        <f t="shared" si="12"/>
        <v>100</v>
      </c>
      <c r="T42" s="1765" t="s">
        <v>25</v>
      </c>
      <c r="U42" s="1766">
        <f t="shared" si="13"/>
        <v>100</v>
      </c>
      <c r="V42" s="1765" t="s">
        <v>25</v>
      </c>
      <c r="W42" s="1766">
        <f t="shared" si="14"/>
        <v>100</v>
      </c>
      <c r="X42" s="1767"/>
      <c r="Y42" s="3542"/>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42"/>
      <c r="Q43" s="2910" t="str">
        <f t="shared" si="11"/>
        <v>内部装修</v>
      </c>
      <c r="R43" s="1724" t="s">
        <v>25</v>
      </c>
      <c r="S43" s="1725">
        <f t="shared" si="12"/>
        <v>100</v>
      </c>
      <c r="T43" s="1724" t="s">
        <v>25</v>
      </c>
      <c r="U43" s="1725">
        <f t="shared" si="13"/>
        <v>100</v>
      </c>
      <c r="V43" s="1724" t="s">
        <v>25</v>
      </c>
      <c r="W43" s="1725">
        <f t="shared" si="14"/>
        <v>100</v>
      </c>
      <c r="X43" s="2071"/>
      <c r="Y43" s="3542"/>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42"/>
      <c r="Q44" s="2910" t="str">
        <f t="shared" si="11"/>
        <v>内部装修维护情况</v>
      </c>
      <c r="R44" s="1724" t="s">
        <v>25</v>
      </c>
      <c r="S44" s="1725">
        <f t="shared" si="12"/>
        <v>100</v>
      </c>
      <c r="T44" s="1724" t="s">
        <v>25</v>
      </c>
      <c r="U44" s="1725">
        <f t="shared" si="13"/>
        <v>100</v>
      </c>
      <c r="V44" s="1724" t="s">
        <v>25</v>
      </c>
      <c r="W44" s="1725">
        <f t="shared" si="14"/>
        <v>100</v>
      </c>
      <c r="X44" s="2071"/>
      <c r="Y44" s="3542"/>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42"/>
      <c r="Q45" s="2909">
        <f t="shared" si="11"/>
        <v>111</v>
      </c>
      <c r="R45" s="1680" t="s">
        <v>25</v>
      </c>
      <c r="S45" s="1681">
        <f t="shared" si="12"/>
        <v>100</v>
      </c>
      <c r="T45" s="1680" t="s">
        <v>25</v>
      </c>
      <c r="U45" s="1681">
        <f t="shared" si="13"/>
        <v>100</v>
      </c>
      <c r="V45" s="1680" t="s">
        <v>25</v>
      </c>
      <c r="W45" s="1681">
        <f t="shared" si="14"/>
        <v>100</v>
      </c>
      <c r="X45" s="1682"/>
      <c r="Y45" s="3542"/>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42"/>
      <c r="Q46" s="2910">
        <f t="shared" si="11"/>
        <v>111</v>
      </c>
      <c r="R46" s="1724" t="s">
        <v>25</v>
      </c>
      <c r="S46" s="1725">
        <f t="shared" si="12"/>
        <v>100</v>
      </c>
      <c r="T46" s="1724" t="s">
        <v>25</v>
      </c>
      <c r="U46" s="1725">
        <f t="shared" si="13"/>
        <v>100</v>
      </c>
      <c r="V46" s="1724" t="s">
        <v>25</v>
      </c>
      <c r="W46" s="1725">
        <f t="shared" si="14"/>
        <v>100</v>
      </c>
      <c r="X46" s="2071"/>
      <c r="Y46" s="3542"/>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43"/>
      <c r="Q47" s="2910">
        <f t="shared" si="11"/>
        <v>111</v>
      </c>
      <c r="R47" s="1724" t="s">
        <v>25</v>
      </c>
      <c r="S47" s="1725">
        <f t="shared" si="12"/>
        <v>100</v>
      </c>
      <c r="T47" s="1724" t="s">
        <v>25</v>
      </c>
      <c r="U47" s="1725">
        <f t="shared" si="13"/>
        <v>100</v>
      </c>
      <c r="V47" s="1724" t="s">
        <v>25</v>
      </c>
      <c r="W47" s="1725">
        <f t="shared" si="14"/>
        <v>100</v>
      </c>
      <c r="X47" s="2071"/>
      <c r="Y47" s="3543"/>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34" t="str">
        <f>A48</f>
        <v>成交单价（元/平方米）</v>
      </c>
      <c r="Q48" s="3534"/>
      <c r="R48" s="3530">
        <f>E48</f>
        <v>0</v>
      </c>
      <c r="S48" s="3530"/>
      <c r="T48" s="3530">
        <f>G48</f>
        <v>0</v>
      </c>
      <c r="U48" s="3530"/>
      <c r="V48" s="3530">
        <f>I48</f>
        <v>0</v>
      </c>
      <c r="W48" s="3530"/>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34" t="str">
        <f>A49</f>
        <v>比较价值（元/平方米）</v>
      </c>
      <c r="Q49" s="3534"/>
      <c r="R49" s="3530" t="e">
        <f>IF(E1="售价",ROUND(PRODUCT(R48,AA7:AA47),0),ROUND(PRODUCT(R48,AA7:AA47),1))</f>
        <v>#DIV/0!</v>
      </c>
      <c r="S49" s="3530"/>
      <c r="T49" s="3530" t="e">
        <f>IF(E1="售价",ROUND(PRODUCT(T48,AB7:AB47),0),ROUND(PRODUCT(T48,AB7:AB47),1))</f>
        <v>#DIV/0!</v>
      </c>
      <c r="U49" s="3530"/>
      <c r="V49" s="3530" t="e">
        <f>IF(E1="售价",ROUND(PRODUCT(V48,AC7:AC47),0),ROUND(PRODUCT(V48,AC7:AC47),1))</f>
        <v>#DIV/0!</v>
      </c>
      <c r="W49" s="3530"/>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31" t="str">
        <f>A50</f>
        <v>估价对象XX用房的比较价值（楼面单价，元/平方米）</v>
      </c>
      <c r="Q50" s="3532"/>
      <c r="R50" s="3533" t="e">
        <f>IF(E1="售价",ROUND(IF(D49="简单平均",AVERAGE(R49:V49),R49*F49+T49*H49+V49*J49),0),ROUND(IF(D49="简单平均",AVERAGE(R49:V49),R49*F49+T49*H49+V49*J49),1))</f>
        <v>#DIV/0!</v>
      </c>
      <c r="S50" s="3533"/>
      <c r="T50" s="3533"/>
      <c r="U50" s="3533"/>
      <c r="V50" s="3533"/>
      <c r="W50" s="3533"/>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2013-6</v>
      </c>
      <c r="D59" s="1822">
        <f>EDATE(C59,-1)</f>
        <v>41395</v>
      </c>
      <c r="E59" s="1822">
        <f t="shared" ref="E59:O59" si="16">EDATE(D59,-1)</f>
        <v>41365</v>
      </c>
      <c r="F59" s="1822">
        <f t="shared" si="16"/>
        <v>41334</v>
      </c>
      <c r="G59" s="1822">
        <f t="shared" si="16"/>
        <v>41306</v>
      </c>
      <c r="H59" s="1822">
        <f t="shared" si="16"/>
        <v>41275</v>
      </c>
      <c r="I59" s="1822">
        <f t="shared" si="16"/>
        <v>41244</v>
      </c>
      <c r="J59" s="1822">
        <f t="shared" si="16"/>
        <v>41214</v>
      </c>
      <c r="K59" s="1822">
        <f t="shared" si="16"/>
        <v>41183</v>
      </c>
      <c r="L59" s="1822">
        <f t="shared" si="16"/>
        <v>41153</v>
      </c>
      <c r="M59" s="1822">
        <f t="shared" si="16"/>
        <v>41122</v>
      </c>
      <c r="N59" s="1822">
        <f t="shared" si="16"/>
        <v>41091</v>
      </c>
      <c r="O59" s="1822">
        <f t="shared" si="16"/>
        <v>41061</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126.61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1" t="s">
        <v>2248</v>
      </c>
      <c r="D4" s="3602"/>
      <c r="E4" s="3603" t="s">
        <v>2249</v>
      </c>
      <c r="F4" s="3604"/>
      <c r="G4" s="3601" t="s">
        <v>2250</v>
      </c>
      <c r="H4" s="3602"/>
      <c r="I4" s="3601" t="s">
        <v>2251</v>
      </c>
      <c r="J4" s="3602"/>
      <c r="K4" s="496" t="s">
        <v>2252</v>
      </c>
      <c r="L4" s="3019"/>
      <c r="M4" s="3020"/>
      <c r="N4" s="3020"/>
      <c r="O4" s="3020"/>
      <c r="P4" s="3605" t="s">
        <v>2253</v>
      </c>
      <c r="Q4" s="3606"/>
      <c r="R4" s="3588" t="s">
        <v>2249</v>
      </c>
      <c r="S4" s="3589"/>
      <c r="T4" s="3588" t="s">
        <v>2250</v>
      </c>
      <c r="U4" s="3589"/>
      <c r="V4" s="3611" t="s">
        <v>2251</v>
      </c>
      <c r="W4" s="3611"/>
      <c r="X4" s="1335"/>
      <c r="Y4" s="3588" t="s">
        <v>2253</v>
      </c>
      <c r="Z4" s="3589"/>
      <c r="AA4" s="3598" t="s">
        <v>2249</v>
      </c>
      <c r="AB4" s="3599" t="s">
        <v>2250</v>
      </c>
      <c r="AC4" s="3598" t="s">
        <v>2251</v>
      </c>
    </row>
    <row r="5" spans="1:29" ht="15">
      <c r="A5" s="297"/>
      <c r="B5" s="298"/>
      <c r="C5" s="3614" t="s">
        <v>2254</v>
      </c>
      <c r="D5" s="3615"/>
      <c r="E5" s="3612" t="s">
        <v>2255</v>
      </c>
      <c r="F5" s="3613"/>
      <c r="G5" s="3614" t="s">
        <v>2256</v>
      </c>
      <c r="H5" s="3615"/>
      <c r="I5" s="3614" t="s">
        <v>2257</v>
      </c>
      <c r="J5" s="3615"/>
      <c r="K5" s="496"/>
      <c r="L5" s="3019"/>
      <c r="M5" s="3020"/>
      <c r="N5" s="3020"/>
      <c r="O5" s="3020"/>
      <c r="P5" s="3607"/>
      <c r="Q5" s="3608"/>
      <c r="R5" s="3590"/>
      <c r="S5" s="3591"/>
      <c r="T5" s="3590"/>
      <c r="U5" s="3591"/>
      <c r="V5" s="3611"/>
      <c r="W5" s="3611"/>
      <c r="X5" s="1335"/>
      <c r="Y5" s="3590"/>
      <c r="Z5" s="3591"/>
      <c r="AA5" s="3599"/>
      <c r="AB5" s="3599"/>
      <c r="AC5" s="3599"/>
    </row>
    <row r="6" spans="1:29" ht="15.75" thickBot="1">
      <c r="A6" s="299"/>
      <c r="B6" s="300"/>
      <c r="C6" s="3616" t="s">
        <v>2258</v>
      </c>
      <c r="D6" s="3617"/>
      <c r="E6" s="3618" t="s">
        <v>2258</v>
      </c>
      <c r="F6" s="3619"/>
      <c r="G6" s="3616" t="s">
        <v>2258</v>
      </c>
      <c r="H6" s="3617"/>
      <c r="I6" s="3616" t="s">
        <v>2258</v>
      </c>
      <c r="J6" s="3617"/>
      <c r="K6" s="496" t="s">
        <v>2259</v>
      </c>
      <c r="L6" s="3019"/>
      <c r="M6" s="3020"/>
      <c r="N6" s="3020"/>
      <c r="O6" s="3020"/>
      <c r="P6" s="3609"/>
      <c r="Q6" s="3610"/>
      <c r="R6" s="3590"/>
      <c r="S6" s="3591"/>
      <c r="T6" s="3592"/>
      <c r="U6" s="3593"/>
      <c r="V6" s="3611"/>
      <c r="W6" s="3611"/>
      <c r="X6" s="1335"/>
      <c r="Y6" s="3592"/>
      <c r="Z6" s="3593"/>
      <c r="AA6" s="3600"/>
      <c r="AB6" s="3600"/>
      <c r="AC6" s="3600"/>
    </row>
    <row r="7" spans="1:29" s="25" customFormat="1" ht="15.75" thickBot="1">
      <c r="A7" s="301" t="s">
        <v>2260</v>
      </c>
      <c r="B7" s="302"/>
      <c r="C7" s="303">
        <f>'数据-取费表'!B2</f>
        <v>41443</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6" t="s">
        <v>2261</v>
      </c>
      <c r="Q7" s="3594"/>
      <c r="R7" s="627" t="s">
        <v>25</v>
      </c>
      <c r="S7" s="628">
        <f t="shared" ref="S7:S15" si="0">F7</f>
        <v>0</v>
      </c>
      <c r="T7" s="627" t="s">
        <v>25</v>
      </c>
      <c r="U7" s="628">
        <f t="shared" ref="U7:U15" si="1">H7</f>
        <v>0</v>
      </c>
      <c r="V7" s="627" t="s">
        <v>25</v>
      </c>
      <c r="W7" s="628">
        <f t="shared" ref="W7:W15" si="2">J7</f>
        <v>0</v>
      </c>
      <c r="X7" s="629"/>
      <c r="Y7" s="3586" t="s">
        <v>2261</v>
      </c>
      <c r="Z7" s="3587"/>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6" t="s">
        <v>2264</v>
      </c>
      <c r="Q8" s="3587"/>
      <c r="R8" s="627" t="s">
        <v>25</v>
      </c>
      <c r="S8" s="628">
        <f t="shared" si="0"/>
        <v>0</v>
      </c>
      <c r="T8" s="627" t="s">
        <v>25</v>
      </c>
      <c r="U8" s="628">
        <f t="shared" si="1"/>
        <v>0</v>
      </c>
      <c r="V8" s="627" t="s">
        <v>25</v>
      </c>
      <c r="W8" s="628">
        <f t="shared" si="2"/>
        <v>0</v>
      </c>
      <c r="X8" s="629"/>
      <c r="Y8" s="3586" t="s">
        <v>2264</v>
      </c>
      <c r="Z8" s="3587"/>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78" t="s">
        <v>2267</v>
      </c>
      <c r="Q9" s="1327" t="str">
        <f t="shared" ref="Q9:Q15" si="6">B9</f>
        <v>用途</v>
      </c>
      <c r="R9" s="627" t="s">
        <v>25</v>
      </c>
      <c r="S9" s="628">
        <f t="shared" si="0"/>
        <v>100</v>
      </c>
      <c r="T9" s="627" t="s">
        <v>25</v>
      </c>
      <c r="U9" s="628">
        <f t="shared" si="1"/>
        <v>100</v>
      </c>
      <c r="V9" s="627" t="s">
        <v>25</v>
      </c>
      <c r="W9" s="628">
        <f t="shared" si="2"/>
        <v>100</v>
      </c>
      <c r="X9" s="629"/>
      <c r="Y9" s="3597"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78"/>
      <c r="Q10" s="1327" t="str">
        <f t="shared" si="6"/>
        <v>土地使用年限（年）</v>
      </c>
      <c r="R10" s="627" t="s">
        <v>25</v>
      </c>
      <c r="S10" s="628">
        <f t="shared" si="0"/>
        <v>100</v>
      </c>
      <c r="T10" s="627" t="s">
        <v>25</v>
      </c>
      <c r="U10" s="628">
        <f t="shared" si="1"/>
        <v>100</v>
      </c>
      <c r="V10" s="627" t="s">
        <v>25</v>
      </c>
      <c r="W10" s="628">
        <f t="shared" si="2"/>
        <v>100</v>
      </c>
      <c r="X10" s="629"/>
      <c r="Y10" s="3597"/>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78"/>
      <c r="Q11" s="1327" t="str">
        <f t="shared" si="6"/>
        <v>容积率</v>
      </c>
      <c r="R11" s="627" t="s">
        <v>25</v>
      </c>
      <c r="S11" s="628" t="e">
        <f t="shared" si="0"/>
        <v>#N/A</v>
      </c>
      <c r="T11" s="627" t="s">
        <v>25</v>
      </c>
      <c r="U11" s="628" t="e">
        <f t="shared" si="1"/>
        <v>#N/A</v>
      </c>
      <c r="V11" s="627" t="s">
        <v>25</v>
      </c>
      <c r="W11" s="628" t="e">
        <f t="shared" si="2"/>
        <v>#N/A</v>
      </c>
      <c r="X11" s="629"/>
      <c r="Y11" s="3597"/>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78"/>
      <c r="Q12" s="1327">
        <f t="shared" si="6"/>
        <v>111</v>
      </c>
      <c r="R12" s="627" t="s">
        <v>25</v>
      </c>
      <c r="S12" s="628">
        <f t="shared" si="0"/>
        <v>100</v>
      </c>
      <c r="T12" s="627" t="s">
        <v>25</v>
      </c>
      <c r="U12" s="628">
        <f t="shared" si="1"/>
        <v>100</v>
      </c>
      <c r="V12" s="627" t="s">
        <v>25</v>
      </c>
      <c r="W12" s="628">
        <f t="shared" si="2"/>
        <v>100</v>
      </c>
      <c r="X12" s="629"/>
      <c r="Y12" s="3597"/>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78"/>
      <c r="Q13" s="1327">
        <f t="shared" si="6"/>
        <v>111</v>
      </c>
      <c r="R13" s="627" t="s">
        <v>25</v>
      </c>
      <c r="S13" s="628">
        <f t="shared" si="0"/>
        <v>100</v>
      </c>
      <c r="T13" s="627" t="s">
        <v>25</v>
      </c>
      <c r="U13" s="628">
        <f t="shared" si="1"/>
        <v>100</v>
      </c>
      <c r="V13" s="627" t="s">
        <v>25</v>
      </c>
      <c r="W13" s="628">
        <f t="shared" si="2"/>
        <v>100</v>
      </c>
      <c r="X13" s="629"/>
      <c r="Y13" s="3597"/>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78"/>
      <c r="Q14" s="1327">
        <f t="shared" si="6"/>
        <v>111</v>
      </c>
      <c r="R14" s="627" t="s">
        <v>25</v>
      </c>
      <c r="S14" s="628">
        <f t="shared" si="0"/>
        <v>100</v>
      </c>
      <c r="T14" s="627" t="s">
        <v>25</v>
      </c>
      <c r="U14" s="628">
        <f t="shared" si="1"/>
        <v>100</v>
      </c>
      <c r="V14" s="627" t="s">
        <v>25</v>
      </c>
      <c r="W14" s="628">
        <f t="shared" si="2"/>
        <v>100</v>
      </c>
      <c r="X14" s="629"/>
      <c r="Y14" s="3597"/>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95" t="s">
        <v>2272</v>
      </c>
      <c r="Q15" s="1334" t="str">
        <f t="shared" si="6"/>
        <v>产业集聚程度</v>
      </c>
      <c r="R15" s="631" t="s">
        <v>25</v>
      </c>
      <c r="S15" s="632">
        <f t="shared" si="0"/>
        <v>100</v>
      </c>
      <c r="T15" s="631" t="s">
        <v>25</v>
      </c>
      <c r="U15" s="632">
        <f t="shared" si="1"/>
        <v>100</v>
      </c>
      <c r="V15" s="631" t="s">
        <v>25</v>
      </c>
      <c r="W15" s="632">
        <f t="shared" si="2"/>
        <v>100</v>
      </c>
      <c r="X15" s="1335"/>
      <c r="Y15" s="3595"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96"/>
      <c r="Q16" s="1334"/>
      <c r="R16" s="631"/>
      <c r="S16" s="632"/>
      <c r="T16" s="631"/>
      <c r="U16" s="632"/>
      <c r="V16" s="631"/>
      <c r="W16" s="632"/>
      <c r="X16" s="1335"/>
      <c r="Y16" s="3596"/>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96"/>
      <c r="Q17" s="1334" t="str">
        <f>B17</f>
        <v>交通便捷度</v>
      </c>
      <c r="R17" s="631" t="s">
        <v>25</v>
      </c>
      <c r="S17" s="632">
        <f>F17</f>
        <v>100</v>
      </c>
      <c r="T17" s="631" t="s">
        <v>25</v>
      </c>
      <c r="U17" s="632">
        <f>H17</f>
        <v>100</v>
      </c>
      <c r="V17" s="631" t="s">
        <v>25</v>
      </c>
      <c r="W17" s="632">
        <f>J17</f>
        <v>100</v>
      </c>
      <c r="X17" s="1335"/>
      <c r="Y17" s="3596"/>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596"/>
      <c r="Q18" s="1334"/>
      <c r="R18" s="631"/>
      <c r="S18" s="632"/>
      <c r="T18" s="631"/>
      <c r="U18" s="632"/>
      <c r="V18" s="631"/>
      <c r="W18" s="632"/>
      <c r="X18" s="1335"/>
      <c r="Y18" s="3596"/>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96"/>
      <c r="Q19" s="1334" t="str">
        <f>B19</f>
        <v>公共配套设施</v>
      </c>
      <c r="R19" s="631" t="s">
        <v>25</v>
      </c>
      <c r="S19" s="632">
        <f>F19</f>
        <v>100</v>
      </c>
      <c r="T19" s="631" t="s">
        <v>25</v>
      </c>
      <c r="U19" s="632">
        <f>H19</f>
        <v>100</v>
      </c>
      <c r="V19" s="631" t="s">
        <v>25</v>
      </c>
      <c r="W19" s="632">
        <f>J19</f>
        <v>100</v>
      </c>
      <c r="X19" s="1335"/>
      <c r="Y19" s="3596"/>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596"/>
      <c r="Q20" s="1334"/>
      <c r="R20" s="631"/>
      <c r="S20" s="632"/>
      <c r="T20" s="631"/>
      <c r="U20" s="632"/>
      <c r="V20" s="631"/>
      <c r="W20" s="632"/>
      <c r="X20" s="1335"/>
      <c r="Y20" s="3596"/>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96"/>
      <c r="Q21" s="1334" t="str">
        <f>B21</f>
        <v>基础设施水平</v>
      </c>
      <c r="R21" s="631" t="s">
        <v>25</v>
      </c>
      <c r="S21" s="632">
        <f>F21</f>
        <v>100</v>
      </c>
      <c r="T21" s="631" t="s">
        <v>25</v>
      </c>
      <c r="U21" s="632">
        <f>H21</f>
        <v>100</v>
      </c>
      <c r="V21" s="631" t="s">
        <v>25</v>
      </c>
      <c r="W21" s="632">
        <f>J21</f>
        <v>100</v>
      </c>
      <c r="X21" s="1335"/>
      <c r="Y21" s="3596"/>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596"/>
      <c r="Q22" s="1334"/>
      <c r="R22" s="631"/>
      <c r="S22" s="632"/>
      <c r="T22" s="631"/>
      <c r="U22" s="632"/>
      <c r="V22" s="631"/>
      <c r="W22" s="632"/>
      <c r="X22" s="1335"/>
      <c r="Y22" s="3596"/>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96"/>
      <c r="Q23" s="1334" t="str">
        <f>B23</f>
        <v>环境质量</v>
      </c>
      <c r="R23" s="631" t="s">
        <v>25</v>
      </c>
      <c r="S23" s="632">
        <f>F23</f>
        <v>100</v>
      </c>
      <c r="T23" s="631" t="s">
        <v>25</v>
      </c>
      <c r="U23" s="632">
        <f>H23</f>
        <v>100</v>
      </c>
      <c r="V23" s="631" t="s">
        <v>25</v>
      </c>
      <c r="W23" s="632">
        <f>J23</f>
        <v>100</v>
      </c>
      <c r="X23" s="1335"/>
      <c r="Y23" s="3596"/>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596"/>
      <c r="Q24" s="1334"/>
      <c r="R24" s="631"/>
      <c r="S24" s="632"/>
      <c r="T24" s="631"/>
      <c r="U24" s="632"/>
      <c r="V24" s="631"/>
      <c r="W24" s="632"/>
      <c r="X24" s="1335"/>
      <c r="Y24" s="3596"/>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96"/>
      <c r="Q25" s="1334">
        <f>B25</f>
        <v>111</v>
      </c>
      <c r="R25" s="631" t="s">
        <v>25</v>
      </c>
      <c r="S25" s="632">
        <f>F25</f>
        <v>100</v>
      </c>
      <c r="T25" s="631" t="s">
        <v>25</v>
      </c>
      <c r="U25" s="632">
        <f>H25</f>
        <v>100</v>
      </c>
      <c r="V25" s="631" t="s">
        <v>25</v>
      </c>
      <c r="W25" s="632">
        <f>J25</f>
        <v>100</v>
      </c>
      <c r="X25" s="1335"/>
      <c r="Y25" s="3596"/>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96"/>
      <c r="Q26" s="1334">
        <f t="shared" ref="Q26:Q40" si="11">B26</f>
        <v>111</v>
      </c>
      <c r="R26" s="631" t="s">
        <v>25</v>
      </c>
      <c r="S26" s="632">
        <f>F26</f>
        <v>100</v>
      </c>
      <c r="T26" s="631" t="s">
        <v>25</v>
      </c>
      <c r="U26" s="632">
        <f>H26</f>
        <v>100</v>
      </c>
      <c r="V26" s="631" t="s">
        <v>25</v>
      </c>
      <c r="W26" s="632">
        <f>J26</f>
        <v>100</v>
      </c>
      <c r="X26" s="1335"/>
      <c r="Y26" s="3596"/>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96"/>
      <c r="Q27" s="1327">
        <f t="shared" si="11"/>
        <v>111</v>
      </c>
      <c r="R27" s="627" t="s">
        <v>25</v>
      </c>
      <c r="S27" s="628">
        <f>F27</f>
        <v>100</v>
      </c>
      <c r="T27" s="627" t="s">
        <v>25</v>
      </c>
      <c r="U27" s="628">
        <f>H27</f>
        <v>100</v>
      </c>
      <c r="V27" s="627" t="s">
        <v>25</v>
      </c>
      <c r="W27" s="628">
        <f>J27</f>
        <v>100</v>
      </c>
      <c r="X27" s="629"/>
      <c r="Y27" s="3596"/>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96"/>
      <c r="Q28" s="1334">
        <f t="shared" si="11"/>
        <v>111</v>
      </c>
      <c r="R28" s="631" t="s">
        <v>25</v>
      </c>
      <c r="S28" s="632">
        <f t="shared" ref="S28:S40" si="12">F28</f>
        <v>100</v>
      </c>
      <c r="T28" s="631" t="s">
        <v>25</v>
      </c>
      <c r="U28" s="632">
        <f t="shared" ref="U28:U40" si="13">H28</f>
        <v>100</v>
      </c>
      <c r="V28" s="631" t="s">
        <v>25</v>
      </c>
      <c r="W28" s="632">
        <f t="shared" ref="W28:W40" si="14">J28</f>
        <v>100</v>
      </c>
      <c r="X28" s="1335"/>
      <c r="Y28" s="3596"/>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583" t="s">
        <v>2277</v>
      </c>
      <c r="Q29" s="1334" t="str">
        <f t="shared" si="11"/>
        <v>建筑类型</v>
      </c>
      <c r="R29" s="631" t="s">
        <v>25</v>
      </c>
      <c r="S29" s="632">
        <f t="shared" si="12"/>
        <v>100</v>
      </c>
      <c r="T29" s="631" t="s">
        <v>25</v>
      </c>
      <c r="U29" s="632">
        <f t="shared" si="13"/>
        <v>100</v>
      </c>
      <c r="V29" s="631" t="s">
        <v>25</v>
      </c>
      <c r="W29" s="632">
        <f t="shared" si="14"/>
        <v>100</v>
      </c>
      <c r="X29" s="1335"/>
      <c r="Y29" s="3584"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84"/>
      <c r="Q30" s="633" t="str">
        <f t="shared" si="11"/>
        <v>项目建筑规模</v>
      </c>
      <c r="R30" s="634" t="s">
        <v>25</v>
      </c>
      <c r="S30" s="635" t="e">
        <f t="shared" si="12"/>
        <v>#N/A</v>
      </c>
      <c r="T30" s="634" t="s">
        <v>25</v>
      </c>
      <c r="U30" s="635" t="e">
        <f t="shared" si="13"/>
        <v>#N/A</v>
      </c>
      <c r="V30" s="634" t="s">
        <v>25</v>
      </c>
      <c r="W30" s="635" t="e">
        <f t="shared" si="14"/>
        <v>#N/A</v>
      </c>
      <c r="X30" s="636"/>
      <c r="Y30" s="3584"/>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84"/>
      <c r="Q31" s="1334" t="str">
        <f t="shared" si="11"/>
        <v>建筑结构</v>
      </c>
      <c r="R31" s="631" t="s">
        <v>25</v>
      </c>
      <c r="S31" s="632">
        <f t="shared" si="12"/>
        <v>100</v>
      </c>
      <c r="T31" s="631" t="s">
        <v>25</v>
      </c>
      <c r="U31" s="632">
        <f t="shared" si="13"/>
        <v>100</v>
      </c>
      <c r="V31" s="631" t="s">
        <v>25</v>
      </c>
      <c r="W31" s="632">
        <f t="shared" si="14"/>
        <v>100</v>
      </c>
      <c r="X31" s="1335"/>
      <c r="Y31" s="3584"/>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84"/>
      <c r="Q32" s="1334" t="str">
        <f t="shared" si="11"/>
        <v>公共部分装修</v>
      </c>
      <c r="R32" s="631" t="s">
        <v>25</v>
      </c>
      <c r="S32" s="632">
        <f t="shared" si="12"/>
        <v>100</v>
      </c>
      <c r="T32" s="631" t="s">
        <v>25</v>
      </c>
      <c r="U32" s="632">
        <f t="shared" si="13"/>
        <v>100</v>
      </c>
      <c r="V32" s="631" t="s">
        <v>25</v>
      </c>
      <c r="W32" s="632">
        <f t="shared" si="14"/>
        <v>100</v>
      </c>
      <c r="X32" s="1335"/>
      <c r="Y32" s="3584"/>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84"/>
      <c r="Q33" s="1334" t="str">
        <f t="shared" si="11"/>
        <v>成新度</v>
      </c>
      <c r="R33" s="631" t="s">
        <v>25</v>
      </c>
      <c r="S33" s="632" t="e">
        <f t="shared" si="12"/>
        <v>#N/A</v>
      </c>
      <c r="T33" s="631" t="s">
        <v>25</v>
      </c>
      <c r="U33" s="632" t="e">
        <f t="shared" si="13"/>
        <v>#N/A</v>
      </c>
      <c r="V33" s="631" t="s">
        <v>25</v>
      </c>
      <c r="W33" s="632" t="e">
        <f t="shared" si="14"/>
        <v>#N/A</v>
      </c>
      <c r="X33" s="1335"/>
      <c r="Y33" s="3584"/>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84"/>
      <c r="Q34" s="1327" t="str">
        <f t="shared" si="11"/>
        <v>物业管理</v>
      </c>
      <c r="R34" s="627" t="s">
        <v>25</v>
      </c>
      <c r="S34" s="628">
        <f t="shared" si="12"/>
        <v>100</v>
      </c>
      <c r="T34" s="627" t="s">
        <v>25</v>
      </c>
      <c r="U34" s="628">
        <f t="shared" si="13"/>
        <v>100</v>
      </c>
      <c r="V34" s="627" t="s">
        <v>25</v>
      </c>
      <c r="W34" s="628">
        <f t="shared" si="14"/>
        <v>100</v>
      </c>
      <c r="X34" s="629"/>
      <c r="Y34" s="3584"/>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84" t="s">
        <v>2277</v>
      </c>
      <c r="Q35" s="1334" t="str">
        <f t="shared" si="11"/>
        <v>市政基础设施</v>
      </c>
      <c r="R35" s="631" t="s">
        <v>25</v>
      </c>
      <c r="S35" s="632">
        <f t="shared" si="12"/>
        <v>100</v>
      </c>
      <c r="T35" s="631" t="s">
        <v>25</v>
      </c>
      <c r="U35" s="632">
        <f t="shared" si="13"/>
        <v>100</v>
      </c>
      <c r="V35" s="631" t="s">
        <v>25</v>
      </c>
      <c r="W35" s="632">
        <f t="shared" si="14"/>
        <v>100</v>
      </c>
      <c r="X35" s="1335"/>
      <c r="Y35" s="3584"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84"/>
      <c r="Q36" s="1334" t="str">
        <f t="shared" si="11"/>
        <v>内部装修</v>
      </c>
      <c r="R36" s="631" t="s">
        <v>25</v>
      </c>
      <c r="S36" s="632">
        <f t="shared" si="12"/>
        <v>100</v>
      </c>
      <c r="T36" s="631" t="s">
        <v>25</v>
      </c>
      <c r="U36" s="632">
        <f t="shared" si="13"/>
        <v>100</v>
      </c>
      <c r="V36" s="631" t="s">
        <v>25</v>
      </c>
      <c r="W36" s="632">
        <f t="shared" si="14"/>
        <v>100</v>
      </c>
      <c r="X36" s="1335"/>
      <c r="Y36" s="3584"/>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84"/>
      <c r="Q37" s="1334" t="str">
        <f t="shared" si="11"/>
        <v>内部装修状况</v>
      </c>
      <c r="R37" s="631" t="s">
        <v>25</v>
      </c>
      <c r="S37" s="632">
        <f t="shared" si="12"/>
        <v>100</v>
      </c>
      <c r="T37" s="631" t="s">
        <v>25</v>
      </c>
      <c r="U37" s="632">
        <f t="shared" si="13"/>
        <v>100</v>
      </c>
      <c r="V37" s="631" t="s">
        <v>25</v>
      </c>
      <c r="W37" s="632">
        <f t="shared" si="14"/>
        <v>100</v>
      </c>
      <c r="X37" s="1335"/>
      <c r="Y37" s="3584"/>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84"/>
      <c r="Q38" s="633">
        <f t="shared" si="11"/>
        <v>111</v>
      </c>
      <c r="R38" s="634" t="s">
        <v>25</v>
      </c>
      <c r="S38" s="635">
        <f t="shared" si="12"/>
        <v>100</v>
      </c>
      <c r="T38" s="634" t="s">
        <v>25</v>
      </c>
      <c r="U38" s="635">
        <f t="shared" si="13"/>
        <v>100</v>
      </c>
      <c r="V38" s="634" t="s">
        <v>25</v>
      </c>
      <c r="W38" s="635">
        <f t="shared" si="14"/>
        <v>100</v>
      </c>
      <c r="X38" s="636"/>
      <c r="Y38" s="3584"/>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84"/>
      <c r="Q39" s="1334">
        <f t="shared" si="11"/>
        <v>111</v>
      </c>
      <c r="R39" s="631" t="s">
        <v>25</v>
      </c>
      <c r="S39" s="632">
        <f t="shared" si="12"/>
        <v>100</v>
      </c>
      <c r="T39" s="631" t="s">
        <v>25</v>
      </c>
      <c r="U39" s="632">
        <f t="shared" si="13"/>
        <v>100</v>
      </c>
      <c r="V39" s="631" t="s">
        <v>25</v>
      </c>
      <c r="W39" s="632">
        <f t="shared" si="14"/>
        <v>100</v>
      </c>
      <c r="X39" s="1335"/>
      <c r="Y39" s="3584"/>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85"/>
      <c r="Q40" s="1334">
        <f t="shared" si="11"/>
        <v>111</v>
      </c>
      <c r="R40" s="631" t="s">
        <v>25</v>
      </c>
      <c r="S40" s="632">
        <f t="shared" si="12"/>
        <v>100</v>
      </c>
      <c r="T40" s="631" t="s">
        <v>25</v>
      </c>
      <c r="U40" s="632">
        <f t="shared" si="13"/>
        <v>100</v>
      </c>
      <c r="V40" s="631" t="s">
        <v>25</v>
      </c>
      <c r="W40" s="632">
        <f t="shared" si="14"/>
        <v>100</v>
      </c>
      <c r="X40" s="1335"/>
      <c r="Y40" s="3585"/>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78" t="str">
        <f>A41</f>
        <v>成交单价（元/平方米）</v>
      </c>
      <c r="Q41" s="3578"/>
      <c r="R41" s="3579">
        <f>E41</f>
        <v>0</v>
      </c>
      <c r="S41" s="3579"/>
      <c r="T41" s="3579">
        <f>G41</f>
        <v>0</v>
      </c>
      <c r="U41" s="3579"/>
      <c r="V41" s="3579">
        <f>I41</f>
        <v>0</v>
      </c>
      <c r="W41" s="3579"/>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78" t="str">
        <f>A42</f>
        <v>比较价值（元/平方米）</v>
      </c>
      <c r="Q42" s="3578"/>
      <c r="R42" s="3579" t="e">
        <f>IF(E1="售价",ROUND(PRODUCT(R41,AA7:AA40),0),ROUND(PRODUCT(R41,AA7:AA40),1))</f>
        <v>#DIV/0!</v>
      </c>
      <c r="S42" s="3579"/>
      <c r="T42" s="3579" t="e">
        <f>IF(E1="售价",ROUND(PRODUCT(T41,AB7:AB40),0),ROUND(PRODUCT(T41,AB7:AB40),1))</f>
        <v>#DIV/0!</v>
      </c>
      <c r="U42" s="3579"/>
      <c r="V42" s="3579" t="e">
        <f>IF(E1="售价",ROUND(PRODUCT(V41,AC7:AC40),0),ROUND(PRODUCT(V41,AC7:AC40),1))</f>
        <v>#DIV/0!</v>
      </c>
      <c r="W42" s="3579"/>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580" t="str">
        <f>A43</f>
        <v>估价对象XX用房的比较价值（楼面单价，元/平方米）</v>
      </c>
      <c r="Q43" s="3581"/>
      <c r="R43" s="3582" t="e">
        <f>IF(E1="售价",ROUND(IF(D42="简单平均",AVERAGE(R42:V42),R42*F42+T42*H42+V42*J42),0),ROUND(IF(D42="简单平均",AVERAGE(R42:V42),R42*F42+T42*H42+V42*J42),1))</f>
        <v>#DIV/0!</v>
      </c>
      <c r="S43" s="3582"/>
      <c r="T43" s="3582"/>
      <c r="U43" s="3582"/>
      <c r="V43" s="3582"/>
      <c r="W43" s="3582"/>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2013-6</v>
      </c>
      <c r="D52" s="1188">
        <f>EDATE(C52,-1)</f>
        <v>41395</v>
      </c>
      <c r="E52" s="1189">
        <f t="shared" ref="E52:O52" si="16">EDATE(D52,-1)</f>
        <v>41365</v>
      </c>
      <c r="F52" s="1189">
        <f t="shared" si="16"/>
        <v>41334</v>
      </c>
      <c r="G52" s="1189">
        <f t="shared" si="16"/>
        <v>41306</v>
      </c>
      <c r="H52" s="1189">
        <f t="shared" si="16"/>
        <v>41275</v>
      </c>
      <c r="I52" s="1189">
        <f t="shared" si="16"/>
        <v>41244</v>
      </c>
      <c r="J52" s="1189">
        <f t="shared" si="16"/>
        <v>41214</v>
      </c>
      <c r="K52" s="1189">
        <f t="shared" si="16"/>
        <v>41183</v>
      </c>
      <c r="L52" s="1189">
        <f t="shared" si="16"/>
        <v>41153</v>
      </c>
      <c r="M52" s="1189">
        <f t="shared" si="16"/>
        <v>41122</v>
      </c>
      <c r="N52" s="1189">
        <f t="shared" si="16"/>
        <v>41091</v>
      </c>
      <c r="O52" s="1189">
        <f t="shared" si="16"/>
        <v>41061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126.61</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1" t="s">
        <v>2248</v>
      </c>
      <c r="D4" s="3602"/>
      <c r="E4" s="3603" t="s">
        <v>2249</v>
      </c>
      <c r="F4" s="3604"/>
      <c r="G4" s="3601" t="s">
        <v>2250</v>
      </c>
      <c r="H4" s="3602"/>
      <c r="I4" s="3601" t="s">
        <v>2251</v>
      </c>
      <c r="J4" s="3602"/>
      <c r="K4" s="496" t="s">
        <v>2252</v>
      </c>
      <c r="L4" s="3019"/>
      <c r="M4" s="3020"/>
      <c r="N4" s="3020"/>
      <c r="O4" s="3020"/>
      <c r="P4" s="3605" t="s">
        <v>2253</v>
      </c>
      <c r="Q4" s="3606"/>
      <c r="R4" s="3588" t="s">
        <v>2249</v>
      </c>
      <c r="S4" s="3589"/>
      <c r="T4" s="3588" t="s">
        <v>2250</v>
      </c>
      <c r="U4" s="3589"/>
      <c r="V4" s="3611" t="s">
        <v>2251</v>
      </c>
      <c r="W4" s="3611"/>
      <c r="X4" s="1335"/>
      <c r="Y4" s="3588" t="s">
        <v>2253</v>
      </c>
      <c r="Z4" s="3589"/>
      <c r="AA4" s="3598" t="s">
        <v>2249</v>
      </c>
      <c r="AB4" s="3599" t="s">
        <v>2250</v>
      </c>
      <c r="AC4" s="3598" t="s">
        <v>2251</v>
      </c>
    </row>
    <row r="5" spans="1:29" ht="15">
      <c r="A5" s="297"/>
      <c r="B5" s="298"/>
      <c r="C5" s="3614" t="s">
        <v>2254</v>
      </c>
      <c r="D5" s="3615"/>
      <c r="E5" s="3612" t="s">
        <v>2255</v>
      </c>
      <c r="F5" s="3613"/>
      <c r="G5" s="3614" t="s">
        <v>2256</v>
      </c>
      <c r="H5" s="3615"/>
      <c r="I5" s="3614" t="s">
        <v>2257</v>
      </c>
      <c r="J5" s="3615"/>
      <c r="K5" s="496"/>
      <c r="L5" s="3019"/>
      <c r="M5" s="3020"/>
      <c r="N5" s="3020"/>
      <c r="O5" s="3020"/>
      <c r="P5" s="3607"/>
      <c r="Q5" s="3608"/>
      <c r="R5" s="3590"/>
      <c r="S5" s="3591"/>
      <c r="T5" s="3590"/>
      <c r="U5" s="3591"/>
      <c r="V5" s="3611"/>
      <c r="W5" s="3611"/>
      <c r="X5" s="1335"/>
      <c r="Y5" s="3590"/>
      <c r="Z5" s="3591"/>
      <c r="AA5" s="3599"/>
      <c r="AB5" s="3599"/>
      <c r="AC5" s="3599"/>
    </row>
    <row r="6" spans="1:29" ht="15.75" thickBot="1">
      <c r="A6" s="299"/>
      <c r="B6" s="300"/>
      <c r="C6" s="3616" t="s">
        <v>2258</v>
      </c>
      <c r="D6" s="3617"/>
      <c r="E6" s="3618" t="s">
        <v>2258</v>
      </c>
      <c r="F6" s="3619"/>
      <c r="G6" s="3616" t="s">
        <v>2258</v>
      </c>
      <c r="H6" s="3617"/>
      <c r="I6" s="3616" t="s">
        <v>2258</v>
      </c>
      <c r="J6" s="3617"/>
      <c r="K6" s="496" t="s">
        <v>2259</v>
      </c>
      <c r="L6" s="3019"/>
      <c r="M6" s="3020"/>
      <c r="N6" s="3020"/>
      <c r="O6" s="3020"/>
      <c r="P6" s="3609"/>
      <c r="Q6" s="3610"/>
      <c r="R6" s="3590"/>
      <c r="S6" s="3591"/>
      <c r="T6" s="3592"/>
      <c r="U6" s="3593"/>
      <c r="V6" s="3611"/>
      <c r="W6" s="3611"/>
      <c r="X6" s="1335"/>
      <c r="Y6" s="3592"/>
      <c r="Z6" s="3593"/>
      <c r="AA6" s="3600"/>
      <c r="AB6" s="3600"/>
      <c r="AC6" s="3600"/>
    </row>
    <row r="7" spans="1:29" s="25" customFormat="1" ht="15.75" thickBot="1">
      <c r="A7" s="301" t="s">
        <v>2260</v>
      </c>
      <c r="B7" s="302"/>
      <c r="C7" s="303">
        <f>'数据-取费表'!B2</f>
        <v>41443</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6" t="s">
        <v>2261</v>
      </c>
      <c r="Q7" s="3594"/>
      <c r="R7" s="627" t="s">
        <v>25</v>
      </c>
      <c r="S7" s="628">
        <f t="shared" ref="S7:S14" si="0">F7</f>
        <v>0</v>
      </c>
      <c r="T7" s="627" t="s">
        <v>25</v>
      </c>
      <c r="U7" s="628">
        <f t="shared" ref="U7:U14" si="1">H7</f>
        <v>0</v>
      </c>
      <c r="V7" s="627" t="s">
        <v>25</v>
      </c>
      <c r="W7" s="628">
        <f t="shared" ref="W7:W14" si="2">J7</f>
        <v>0</v>
      </c>
      <c r="X7" s="629"/>
      <c r="Y7" s="3586" t="s">
        <v>2261</v>
      </c>
      <c r="Z7" s="3587"/>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6" t="s">
        <v>2264</v>
      </c>
      <c r="Q8" s="3587"/>
      <c r="R8" s="627" t="s">
        <v>25</v>
      </c>
      <c r="S8" s="628">
        <f t="shared" si="0"/>
        <v>0</v>
      </c>
      <c r="T8" s="627" t="s">
        <v>25</v>
      </c>
      <c r="U8" s="628">
        <f t="shared" si="1"/>
        <v>0</v>
      </c>
      <c r="V8" s="627" t="s">
        <v>25</v>
      </c>
      <c r="W8" s="628">
        <f t="shared" si="2"/>
        <v>0</v>
      </c>
      <c r="X8" s="629"/>
      <c r="Y8" s="3586" t="s">
        <v>2264</v>
      </c>
      <c r="Z8" s="3587"/>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78" t="s">
        <v>2267</v>
      </c>
      <c r="Q9" s="1327" t="str">
        <f t="shared" ref="Q9:Q14" si="6">B9</f>
        <v>用途</v>
      </c>
      <c r="R9" s="627" t="s">
        <v>25</v>
      </c>
      <c r="S9" s="628">
        <f t="shared" si="0"/>
        <v>100</v>
      </c>
      <c r="T9" s="627" t="s">
        <v>25</v>
      </c>
      <c r="U9" s="628">
        <f t="shared" si="1"/>
        <v>100</v>
      </c>
      <c r="V9" s="627" t="s">
        <v>25</v>
      </c>
      <c r="W9" s="628">
        <f t="shared" si="2"/>
        <v>100</v>
      </c>
      <c r="X9" s="629"/>
      <c r="Y9" s="3597"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78"/>
      <c r="Q10" s="1327" t="str">
        <f t="shared" si="6"/>
        <v>土地使用年限（年）</v>
      </c>
      <c r="R10" s="627" t="s">
        <v>25</v>
      </c>
      <c r="S10" s="628">
        <f t="shared" si="0"/>
        <v>100</v>
      </c>
      <c r="T10" s="627" t="s">
        <v>25</v>
      </c>
      <c r="U10" s="628">
        <f t="shared" si="1"/>
        <v>100</v>
      </c>
      <c r="V10" s="627" t="s">
        <v>25</v>
      </c>
      <c r="W10" s="628">
        <f t="shared" si="2"/>
        <v>100</v>
      </c>
      <c r="X10" s="629"/>
      <c r="Y10" s="359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78"/>
      <c r="Q11" s="1327">
        <f t="shared" si="6"/>
        <v>111</v>
      </c>
      <c r="R11" s="627" t="s">
        <v>25</v>
      </c>
      <c r="S11" s="628">
        <f t="shared" si="0"/>
        <v>100</v>
      </c>
      <c r="T11" s="627" t="s">
        <v>25</v>
      </c>
      <c r="U11" s="628">
        <f t="shared" si="1"/>
        <v>100</v>
      </c>
      <c r="V11" s="627" t="s">
        <v>25</v>
      </c>
      <c r="W11" s="628">
        <f t="shared" si="2"/>
        <v>100</v>
      </c>
      <c r="X11" s="629"/>
      <c r="Y11" s="359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78"/>
      <c r="Q12" s="1327">
        <f t="shared" si="6"/>
        <v>111</v>
      </c>
      <c r="R12" s="627" t="s">
        <v>25</v>
      </c>
      <c r="S12" s="628">
        <f t="shared" si="0"/>
        <v>100</v>
      </c>
      <c r="T12" s="627" t="s">
        <v>25</v>
      </c>
      <c r="U12" s="628">
        <f t="shared" si="1"/>
        <v>100</v>
      </c>
      <c r="V12" s="627" t="s">
        <v>25</v>
      </c>
      <c r="W12" s="628">
        <f t="shared" si="2"/>
        <v>100</v>
      </c>
      <c r="X12" s="629"/>
      <c r="Y12" s="359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78"/>
      <c r="Q13" s="1327">
        <f t="shared" si="6"/>
        <v>111</v>
      </c>
      <c r="R13" s="627" t="s">
        <v>25</v>
      </c>
      <c r="S13" s="628">
        <f t="shared" si="0"/>
        <v>100</v>
      </c>
      <c r="T13" s="627" t="s">
        <v>25</v>
      </c>
      <c r="U13" s="628">
        <f t="shared" si="1"/>
        <v>100</v>
      </c>
      <c r="V13" s="627" t="s">
        <v>25</v>
      </c>
      <c r="W13" s="628">
        <f t="shared" si="2"/>
        <v>100</v>
      </c>
      <c r="X13" s="629"/>
      <c r="Y13" s="3597"/>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95" t="s">
        <v>2272</v>
      </c>
      <c r="Q14" s="1334" t="str">
        <f t="shared" si="6"/>
        <v>交通便捷度</v>
      </c>
      <c r="R14" s="631" t="s">
        <v>25</v>
      </c>
      <c r="S14" s="632">
        <f t="shared" si="0"/>
        <v>100</v>
      </c>
      <c r="T14" s="631" t="s">
        <v>25</v>
      </c>
      <c r="U14" s="632">
        <f t="shared" si="1"/>
        <v>100</v>
      </c>
      <c r="V14" s="631" t="s">
        <v>25</v>
      </c>
      <c r="W14" s="632">
        <f t="shared" si="2"/>
        <v>100</v>
      </c>
      <c r="X14" s="1335"/>
      <c r="Y14" s="3595"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96"/>
      <c r="Q15" s="1334"/>
      <c r="R15" s="631"/>
      <c r="S15" s="632"/>
      <c r="T15" s="631"/>
      <c r="U15" s="632"/>
      <c r="V15" s="631"/>
      <c r="W15" s="632"/>
      <c r="X15" s="1335"/>
      <c r="Y15" s="3596"/>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96"/>
      <c r="Q16" s="1334" t="str">
        <f>B16</f>
        <v>公共配套设施</v>
      </c>
      <c r="R16" s="631" t="s">
        <v>25</v>
      </c>
      <c r="S16" s="632">
        <f>F16</f>
        <v>100</v>
      </c>
      <c r="T16" s="631" t="s">
        <v>25</v>
      </c>
      <c r="U16" s="632">
        <f>H16</f>
        <v>100</v>
      </c>
      <c r="V16" s="631" t="s">
        <v>25</v>
      </c>
      <c r="W16" s="632">
        <f>J16</f>
        <v>100</v>
      </c>
      <c r="X16" s="1335"/>
      <c r="Y16" s="359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96"/>
      <c r="Q17" s="1334"/>
      <c r="R17" s="631"/>
      <c r="S17" s="632"/>
      <c r="T17" s="631"/>
      <c r="U17" s="632"/>
      <c r="V17" s="631"/>
      <c r="W17" s="632"/>
      <c r="X17" s="1335"/>
      <c r="Y17" s="3596"/>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96"/>
      <c r="Q18" s="1334" t="str">
        <f>B18</f>
        <v>基础设施水平</v>
      </c>
      <c r="R18" s="631" t="s">
        <v>25</v>
      </c>
      <c r="S18" s="632">
        <f>F18</f>
        <v>100</v>
      </c>
      <c r="T18" s="631" t="s">
        <v>25</v>
      </c>
      <c r="U18" s="632">
        <f>H18</f>
        <v>100</v>
      </c>
      <c r="V18" s="631" t="s">
        <v>25</v>
      </c>
      <c r="W18" s="632">
        <f>J18</f>
        <v>100</v>
      </c>
      <c r="X18" s="1335"/>
      <c r="Y18" s="359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96"/>
      <c r="Q19" s="1334"/>
      <c r="R19" s="631"/>
      <c r="S19" s="632"/>
      <c r="T19" s="631"/>
      <c r="U19" s="632"/>
      <c r="V19" s="631"/>
      <c r="W19" s="632"/>
      <c r="X19" s="1335"/>
      <c r="Y19" s="3596"/>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96"/>
      <c r="Q20" s="1334" t="str">
        <f>B20</f>
        <v>自然及人文环境</v>
      </c>
      <c r="R20" s="631" t="s">
        <v>25</v>
      </c>
      <c r="S20" s="632">
        <f>F20</f>
        <v>100</v>
      </c>
      <c r="T20" s="631" t="s">
        <v>25</v>
      </c>
      <c r="U20" s="632">
        <f>H20</f>
        <v>100</v>
      </c>
      <c r="V20" s="631" t="s">
        <v>25</v>
      </c>
      <c r="W20" s="632">
        <f>J20</f>
        <v>100</v>
      </c>
      <c r="X20" s="1335"/>
      <c r="Y20" s="359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96"/>
      <c r="Q21" s="1334"/>
      <c r="R21" s="631"/>
      <c r="S21" s="632"/>
      <c r="T21" s="631"/>
      <c r="U21" s="632"/>
      <c r="V21" s="631"/>
      <c r="W21" s="632"/>
      <c r="X21" s="1335"/>
      <c r="Y21" s="3596"/>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96"/>
      <c r="Q22" s="1334" t="str">
        <f>B22</f>
        <v>楼层</v>
      </c>
      <c r="R22" s="631" t="s">
        <v>25</v>
      </c>
      <c r="S22" s="632">
        <f>F22</f>
        <v>100</v>
      </c>
      <c r="T22" s="631" t="s">
        <v>25</v>
      </c>
      <c r="U22" s="632">
        <f>H22</f>
        <v>100</v>
      </c>
      <c r="V22" s="631" t="s">
        <v>25</v>
      </c>
      <c r="W22" s="632">
        <f>J22</f>
        <v>100</v>
      </c>
      <c r="X22" s="1335"/>
      <c r="Y22" s="359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96"/>
      <c r="Q23" s="1334">
        <f>B23</f>
        <v>111</v>
      </c>
      <c r="R23" s="631" t="s">
        <v>25</v>
      </c>
      <c r="S23" s="632">
        <f>F23</f>
        <v>100</v>
      </c>
      <c r="T23" s="631" t="s">
        <v>25</v>
      </c>
      <c r="U23" s="632">
        <f>H23</f>
        <v>100</v>
      </c>
      <c r="V23" s="631" t="s">
        <v>25</v>
      </c>
      <c r="W23" s="632">
        <f>J23</f>
        <v>100</v>
      </c>
      <c r="X23" s="1335"/>
      <c r="Y23" s="359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96"/>
      <c r="Q24" s="1334">
        <f t="shared" ref="Q24:Q36" si="11">B24</f>
        <v>111</v>
      </c>
      <c r="R24" s="631" t="s">
        <v>25</v>
      </c>
      <c r="S24" s="632">
        <f>F24</f>
        <v>100</v>
      </c>
      <c r="T24" s="631" t="s">
        <v>25</v>
      </c>
      <c r="U24" s="632">
        <f>H24</f>
        <v>100</v>
      </c>
      <c r="V24" s="631" t="s">
        <v>25</v>
      </c>
      <c r="W24" s="632">
        <f>J24</f>
        <v>100</v>
      </c>
      <c r="X24" s="1335"/>
      <c r="Y24" s="359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96"/>
      <c r="Q25" s="1327">
        <f t="shared" si="11"/>
        <v>111</v>
      </c>
      <c r="R25" s="627" t="s">
        <v>25</v>
      </c>
      <c r="S25" s="628">
        <f>F25</f>
        <v>100</v>
      </c>
      <c r="T25" s="627" t="s">
        <v>25</v>
      </c>
      <c r="U25" s="628">
        <f>H25</f>
        <v>100</v>
      </c>
      <c r="V25" s="627" t="s">
        <v>25</v>
      </c>
      <c r="W25" s="628">
        <f>J25</f>
        <v>100</v>
      </c>
      <c r="X25" s="629"/>
      <c r="Y25" s="3596"/>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83"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84"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84"/>
      <c r="Q27" s="633" t="str">
        <f t="shared" si="11"/>
        <v>项目停车位配比</v>
      </c>
      <c r="R27" s="634" t="s">
        <v>25</v>
      </c>
      <c r="S27" s="635">
        <f t="shared" si="12"/>
        <v>100</v>
      </c>
      <c r="T27" s="634" t="s">
        <v>25</v>
      </c>
      <c r="U27" s="635">
        <f t="shared" si="13"/>
        <v>100</v>
      </c>
      <c r="V27" s="634" t="s">
        <v>25</v>
      </c>
      <c r="W27" s="635">
        <f t="shared" si="14"/>
        <v>100</v>
      </c>
      <c r="X27" s="636"/>
      <c r="Y27" s="3584"/>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84"/>
      <c r="Q28" s="1334" t="str">
        <f t="shared" si="11"/>
        <v>公共部分装修</v>
      </c>
      <c r="R28" s="631" t="s">
        <v>25</v>
      </c>
      <c r="S28" s="632">
        <f t="shared" si="12"/>
        <v>100</v>
      </c>
      <c r="T28" s="631" t="s">
        <v>25</v>
      </c>
      <c r="U28" s="632">
        <f t="shared" si="13"/>
        <v>100</v>
      </c>
      <c r="V28" s="631" t="s">
        <v>25</v>
      </c>
      <c r="W28" s="632">
        <f t="shared" si="14"/>
        <v>100</v>
      </c>
      <c r="X28" s="1335"/>
      <c r="Y28" s="3584"/>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84"/>
      <c r="Q29" s="1334" t="str">
        <f t="shared" si="11"/>
        <v>成新率</v>
      </c>
      <c r="R29" s="631" t="s">
        <v>25</v>
      </c>
      <c r="S29" s="632" t="e">
        <f t="shared" si="12"/>
        <v>#N/A</v>
      </c>
      <c r="T29" s="631" t="s">
        <v>25</v>
      </c>
      <c r="U29" s="632" t="e">
        <f t="shared" si="13"/>
        <v>#N/A</v>
      </c>
      <c r="V29" s="631" t="s">
        <v>25</v>
      </c>
      <c r="W29" s="632" t="e">
        <f t="shared" si="14"/>
        <v>#N/A</v>
      </c>
      <c r="X29" s="1335"/>
      <c r="Y29" s="3584"/>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84"/>
      <c r="Q30" s="1334" t="str">
        <f t="shared" si="11"/>
        <v>物业等级</v>
      </c>
      <c r="R30" s="631" t="s">
        <v>25</v>
      </c>
      <c r="S30" s="632">
        <f t="shared" si="12"/>
        <v>100</v>
      </c>
      <c r="T30" s="631" t="s">
        <v>25</v>
      </c>
      <c r="U30" s="632">
        <f t="shared" si="13"/>
        <v>100</v>
      </c>
      <c r="V30" s="631" t="s">
        <v>25</v>
      </c>
      <c r="W30" s="632">
        <f t="shared" si="14"/>
        <v>100</v>
      </c>
      <c r="X30" s="1335"/>
      <c r="Y30" s="3584"/>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84"/>
      <c r="Q31" s="1327" t="str">
        <f t="shared" si="11"/>
        <v>停车位面积</v>
      </c>
      <c r="R31" s="627" t="s">
        <v>25</v>
      </c>
      <c r="S31" s="628" t="e">
        <f t="shared" si="12"/>
        <v>#N/A</v>
      </c>
      <c r="T31" s="627" t="s">
        <v>25</v>
      </c>
      <c r="U31" s="628" t="e">
        <f t="shared" si="13"/>
        <v>#N/A</v>
      </c>
      <c r="V31" s="627" t="s">
        <v>25</v>
      </c>
      <c r="W31" s="628" t="e">
        <f t="shared" si="14"/>
        <v>#N/A</v>
      </c>
      <c r="X31" s="629"/>
      <c r="Y31" s="3584"/>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84" t="s">
        <v>2277</v>
      </c>
      <c r="Q32" s="1334" t="str">
        <f t="shared" si="11"/>
        <v>车位类型</v>
      </c>
      <c r="R32" s="631" t="s">
        <v>25</v>
      </c>
      <c r="S32" s="632">
        <f t="shared" si="12"/>
        <v>100</v>
      </c>
      <c r="T32" s="631" t="s">
        <v>25</v>
      </c>
      <c r="U32" s="632">
        <f t="shared" si="13"/>
        <v>100</v>
      </c>
      <c r="V32" s="631" t="s">
        <v>25</v>
      </c>
      <c r="W32" s="632">
        <f t="shared" si="14"/>
        <v>100</v>
      </c>
      <c r="X32" s="1335"/>
      <c r="Y32" s="3584"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84"/>
      <c r="Q33" s="1334" t="str">
        <f t="shared" si="11"/>
        <v>是否直接入户</v>
      </c>
      <c r="R33" s="631" t="s">
        <v>25</v>
      </c>
      <c r="S33" s="632">
        <f t="shared" si="12"/>
        <v>100</v>
      </c>
      <c r="T33" s="631" t="s">
        <v>25</v>
      </c>
      <c r="U33" s="632">
        <f t="shared" si="13"/>
        <v>100</v>
      </c>
      <c r="V33" s="631" t="s">
        <v>25</v>
      </c>
      <c r="W33" s="632">
        <f t="shared" si="14"/>
        <v>100</v>
      </c>
      <c r="X33" s="1335"/>
      <c r="Y33" s="358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84"/>
      <c r="Q34" s="1334">
        <f t="shared" si="11"/>
        <v>111</v>
      </c>
      <c r="R34" s="631" t="s">
        <v>25</v>
      </c>
      <c r="S34" s="632">
        <f t="shared" si="12"/>
        <v>100</v>
      </c>
      <c r="T34" s="631" t="s">
        <v>25</v>
      </c>
      <c r="U34" s="632">
        <f t="shared" si="13"/>
        <v>100</v>
      </c>
      <c r="V34" s="631" t="s">
        <v>25</v>
      </c>
      <c r="W34" s="632">
        <f t="shared" si="14"/>
        <v>100</v>
      </c>
      <c r="X34" s="1335"/>
      <c r="Y34" s="358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84"/>
      <c r="Q35" s="633">
        <f t="shared" si="11"/>
        <v>111</v>
      </c>
      <c r="R35" s="634" t="s">
        <v>25</v>
      </c>
      <c r="S35" s="635">
        <f t="shared" si="12"/>
        <v>100</v>
      </c>
      <c r="T35" s="634" t="s">
        <v>25</v>
      </c>
      <c r="U35" s="635">
        <f t="shared" si="13"/>
        <v>100</v>
      </c>
      <c r="V35" s="634" t="s">
        <v>25</v>
      </c>
      <c r="W35" s="635">
        <f t="shared" si="14"/>
        <v>100</v>
      </c>
      <c r="X35" s="636"/>
      <c r="Y35" s="3584"/>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84"/>
      <c r="Q36" s="1334">
        <f t="shared" si="11"/>
        <v>111</v>
      </c>
      <c r="R36" s="631" t="s">
        <v>25</v>
      </c>
      <c r="S36" s="632">
        <f t="shared" si="12"/>
        <v>100</v>
      </c>
      <c r="T36" s="631" t="s">
        <v>25</v>
      </c>
      <c r="U36" s="632">
        <f t="shared" si="13"/>
        <v>100</v>
      </c>
      <c r="V36" s="631" t="s">
        <v>25</v>
      </c>
      <c r="W36" s="632">
        <f t="shared" si="14"/>
        <v>100</v>
      </c>
      <c r="X36" s="1335"/>
      <c r="Y36" s="3584"/>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78" t="str">
        <f>A37</f>
        <v>成交单价</v>
      </c>
      <c r="Q37" s="3578"/>
      <c r="R37" s="3579">
        <f>E37</f>
        <v>0</v>
      </c>
      <c r="S37" s="3579"/>
      <c r="T37" s="3579">
        <f>G37</f>
        <v>0</v>
      </c>
      <c r="U37" s="3579"/>
      <c r="V37" s="3579">
        <f>I37</f>
        <v>0</v>
      </c>
      <c r="W37" s="3579"/>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78" t="str">
        <f>A38</f>
        <v>比较价值</v>
      </c>
      <c r="Q38" s="3578"/>
      <c r="R38" s="3579" t="e">
        <f>IF(E1="售价",ROUND(PRODUCT(R37,AA7:AA36),0),ROUND(PRODUCT(R37,AA7:AA36),1))</f>
        <v>#DIV/0!</v>
      </c>
      <c r="S38" s="3579"/>
      <c r="T38" s="3579" t="e">
        <f>IF(E1="售价",ROUND(PRODUCT(T37,AB7:AB36),0),ROUND(PRODUCT(T37,AB7:AB36),1))</f>
        <v>#DIV/0!</v>
      </c>
      <c r="U38" s="3579"/>
      <c r="V38" s="3579" t="e">
        <f>IF(E1="售价",ROUND(PRODUCT(V37,AC7:AC36),0),ROUND(PRODUCT(V37,AC7:AC36),1))</f>
        <v>#DIV/0!</v>
      </c>
      <c r="W38" s="3579"/>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580" t="str">
        <f>A39</f>
        <v>估价对象XX用房的比较价值（楼面单价，元/平方米）</v>
      </c>
      <c r="Q39" s="3581"/>
      <c r="R39" s="3582" t="e">
        <f>IF(E1="售价",ROUND(IF(D38="简单平均",AVERAGE(R38:W38),R38*F38+T38*H38+V38*J38),0),ROUND(IF(D38="简单平均",AVERAGE(R38:V38),R38*F38+T38*H38+V38*J38),1))</f>
        <v>#DIV/0!</v>
      </c>
      <c r="S39" s="3582"/>
      <c r="T39" s="3582"/>
      <c r="U39" s="3582"/>
      <c r="V39" s="3582"/>
      <c r="W39" s="3582"/>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2013-6</v>
      </c>
      <c r="D48" s="1188">
        <f>EDATE(C48,-1)</f>
        <v>41395</v>
      </c>
      <c r="E48" s="1188">
        <f t="shared" ref="E48:O48" si="16">EDATE(D48,-1)</f>
        <v>41365</v>
      </c>
      <c r="F48" s="1188">
        <f t="shared" si="16"/>
        <v>41334</v>
      </c>
      <c r="G48" s="1188">
        <f t="shared" si="16"/>
        <v>41306</v>
      </c>
      <c r="H48" s="1188">
        <f t="shared" si="16"/>
        <v>41275</v>
      </c>
      <c r="I48" s="1188">
        <f t="shared" si="16"/>
        <v>41244</v>
      </c>
      <c r="J48" s="1188">
        <f t="shared" si="16"/>
        <v>41214</v>
      </c>
      <c r="K48" s="1188">
        <f t="shared" si="16"/>
        <v>41183</v>
      </c>
      <c r="L48" s="1188">
        <f t="shared" si="16"/>
        <v>41153</v>
      </c>
      <c r="M48" s="1188">
        <f t="shared" si="16"/>
        <v>41122</v>
      </c>
      <c r="N48" s="1188">
        <f t="shared" si="16"/>
        <v>41091</v>
      </c>
      <c r="O48" s="1188">
        <f t="shared" si="16"/>
        <v>41061</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126.61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1" t="s">
        <v>2248</v>
      </c>
      <c r="D4" s="3602"/>
      <c r="E4" s="3603" t="s">
        <v>2249</v>
      </c>
      <c r="F4" s="3604"/>
      <c r="G4" s="3601" t="s">
        <v>2250</v>
      </c>
      <c r="H4" s="3602"/>
      <c r="I4" s="3601" t="s">
        <v>2251</v>
      </c>
      <c r="J4" s="3602"/>
      <c r="K4" s="496" t="s">
        <v>2252</v>
      </c>
      <c r="L4" s="3019"/>
      <c r="M4" s="3020"/>
      <c r="N4" s="3020"/>
      <c r="O4" s="3020"/>
      <c r="P4" s="3605" t="s">
        <v>2253</v>
      </c>
      <c r="Q4" s="3606"/>
      <c r="R4" s="3588" t="s">
        <v>2249</v>
      </c>
      <c r="S4" s="3589"/>
      <c r="T4" s="3588" t="s">
        <v>2250</v>
      </c>
      <c r="U4" s="3589"/>
      <c r="V4" s="3611" t="s">
        <v>2251</v>
      </c>
      <c r="W4" s="3611"/>
      <c r="X4" s="1335"/>
      <c r="Y4" s="3588" t="s">
        <v>2253</v>
      </c>
      <c r="Z4" s="3589"/>
      <c r="AA4" s="3598" t="s">
        <v>2249</v>
      </c>
      <c r="AB4" s="3599" t="s">
        <v>2250</v>
      </c>
      <c r="AC4" s="3598" t="s">
        <v>2251</v>
      </c>
    </row>
    <row r="5" spans="1:29" ht="15">
      <c r="A5" s="297"/>
      <c r="B5" s="298"/>
      <c r="C5" s="3614" t="s">
        <v>2254</v>
      </c>
      <c r="D5" s="3615"/>
      <c r="E5" s="3612" t="s">
        <v>2255</v>
      </c>
      <c r="F5" s="3613"/>
      <c r="G5" s="3614" t="s">
        <v>2256</v>
      </c>
      <c r="H5" s="3615"/>
      <c r="I5" s="3614" t="s">
        <v>2257</v>
      </c>
      <c r="J5" s="3615"/>
      <c r="K5" s="496"/>
      <c r="L5" s="3019"/>
      <c r="M5" s="3020"/>
      <c r="N5" s="3020"/>
      <c r="O5" s="3020"/>
      <c r="P5" s="3607"/>
      <c r="Q5" s="3608"/>
      <c r="R5" s="3590"/>
      <c r="S5" s="3591"/>
      <c r="T5" s="3590"/>
      <c r="U5" s="3591"/>
      <c r="V5" s="3611"/>
      <c r="W5" s="3611"/>
      <c r="X5" s="1335"/>
      <c r="Y5" s="3590"/>
      <c r="Z5" s="3591"/>
      <c r="AA5" s="3599"/>
      <c r="AB5" s="3599"/>
      <c r="AC5" s="3599"/>
    </row>
    <row r="6" spans="1:29" ht="15.75" thickBot="1">
      <c r="A6" s="299"/>
      <c r="B6" s="300"/>
      <c r="C6" s="3616" t="s">
        <v>2258</v>
      </c>
      <c r="D6" s="3617"/>
      <c r="E6" s="3618" t="s">
        <v>2258</v>
      </c>
      <c r="F6" s="3619"/>
      <c r="G6" s="3616" t="s">
        <v>2258</v>
      </c>
      <c r="H6" s="3617"/>
      <c r="I6" s="3616" t="s">
        <v>2258</v>
      </c>
      <c r="J6" s="3617"/>
      <c r="K6" s="496" t="s">
        <v>2259</v>
      </c>
      <c r="L6" s="3019"/>
      <c r="M6" s="3020"/>
      <c r="N6" s="3020"/>
      <c r="O6" s="3020"/>
      <c r="P6" s="3609"/>
      <c r="Q6" s="3610"/>
      <c r="R6" s="3590"/>
      <c r="S6" s="3591"/>
      <c r="T6" s="3592"/>
      <c r="U6" s="3593"/>
      <c r="V6" s="3611"/>
      <c r="W6" s="3611"/>
      <c r="X6" s="1335"/>
      <c r="Y6" s="3592"/>
      <c r="Z6" s="3593"/>
      <c r="AA6" s="3600"/>
      <c r="AB6" s="3600"/>
      <c r="AC6" s="3600"/>
    </row>
    <row r="7" spans="1:29" s="25" customFormat="1" ht="15.75" thickBot="1">
      <c r="A7" s="301" t="s">
        <v>2260</v>
      </c>
      <c r="B7" s="302"/>
      <c r="C7" s="303">
        <f>'数据-取费表'!B2</f>
        <v>41443</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6" t="s">
        <v>2261</v>
      </c>
      <c r="Q7" s="3594"/>
      <c r="R7" s="627" t="s">
        <v>25</v>
      </c>
      <c r="S7" s="628">
        <f t="shared" ref="S7:S14" si="0">F7</f>
        <v>0</v>
      </c>
      <c r="T7" s="627" t="s">
        <v>25</v>
      </c>
      <c r="U7" s="628">
        <f t="shared" ref="U7:U14" si="1">H7</f>
        <v>0</v>
      </c>
      <c r="V7" s="627" t="s">
        <v>25</v>
      </c>
      <c r="W7" s="628">
        <f t="shared" ref="W7:W14" si="2">J7</f>
        <v>0</v>
      </c>
      <c r="X7" s="629"/>
      <c r="Y7" s="3586" t="s">
        <v>2261</v>
      </c>
      <c r="Z7" s="3587"/>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6" t="s">
        <v>2264</v>
      </c>
      <c r="Q8" s="3587"/>
      <c r="R8" s="627" t="s">
        <v>25</v>
      </c>
      <c r="S8" s="628">
        <f t="shared" si="0"/>
        <v>0</v>
      </c>
      <c r="T8" s="627" t="s">
        <v>25</v>
      </c>
      <c r="U8" s="628">
        <f t="shared" si="1"/>
        <v>0</v>
      </c>
      <c r="V8" s="627" t="s">
        <v>25</v>
      </c>
      <c r="W8" s="628">
        <f t="shared" si="2"/>
        <v>0</v>
      </c>
      <c r="X8" s="629"/>
      <c r="Y8" s="3586" t="s">
        <v>2264</v>
      </c>
      <c r="Z8" s="3587"/>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78" t="s">
        <v>2267</v>
      </c>
      <c r="Q9" s="1327" t="str">
        <f t="shared" ref="Q9:Q14" si="6">B9</f>
        <v>用途</v>
      </c>
      <c r="R9" s="627" t="s">
        <v>25</v>
      </c>
      <c r="S9" s="628">
        <f t="shared" si="0"/>
        <v>100</v>
      </c>
      <c r="T9" s="627" t="s">
        <v>25</v>
      </c>
      <c r="U9" s="628">
        <f t="shared" si="1"/>
        <v>100</v>
      </c>
      <c r="V9" s="627" t="s">
        <v>25</v>
      </c>
      <c r="W9" s="628">
        <f t="shared" si="2"/>
        <v>100</v>
      </c>
      <c r="X9" s="629"/>
      <c r="Y9" s="3597"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78"/>
      <c r="Q10" s="1327" t="str">
        <f t="shared" si="6"/>
        <v>土地使用年限（年）</v>
      </c>
      <c r="R10" s="627" t="s">
        <v>25</v>
      </c>
      <c r="S10" s="628">
        <f t="shared" si="0"/>
        <v>100</v>
      </c>
      <c r="T10" s="627" t="s">
        <v>25</v>
      </c>
      <c r="U10" s="628">
        <f t="shared" si="1"/>
        <v>100</v>
      </c>
      <c r="V10" s="627" t="s">
        <v>25</v>
      </c>
      <c r="W10" s="628">
        <f t="shared" si="2"/>
        <v>100</v>
      </c>
      <c r="X10" s="629"/>
      <c r="Y10" s="3597"/>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78"/>
      <c r="Q11" s="1327">
        <f t="shared" si="6"/>
        <v>111</v>
      </c>
      <c r="R11" s="627" t="s">
        <v>25</v>
      </c>
      <c r="S11" s="628">
        <f t="shared" si="0"/>
        <v>100</v>
      </c>
      <c r="T11" s="627" t="s">
        <v>25</v>
      </c>
      <c r="U11" s="628">
        <f t="shared" si="1"/>
        <v>100</v>
      </c>
      <c r="V11" s="627" t="s">
        <v>25</v>
      </c>
      <c r="W11" s="628">
        <f t="shared" si="2"/>
        <v>100</v>
      </c>
      <c r="X11" s="629"/>
      <c r="Y11" s="3597"/>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78"/>
      <c r="Q12" s="1327">
        <f t="shared" si="6"/>
        <v>111</v>
      </c>
      <c r="R12" s="627" t="s">
        <v>25</v>
      </c>
      <c r="S12" s="628">
        <f t="shared" si="0"/>
        <v>100</v>
      </c>
      <c r="T12" s="627" t="s">
        <v>25</v>
      </c>
      <c r="U12" s="628">
        <f t="shared" si="1"/>
        <v>100</v>
      </c>
      <c r="V12" s="627" t="s">
        <v>25</v>
      </c>
      <c r="W12" s="628">
        <f t="shared" si="2"/>
        <v>100</v>
      </c>
      <c r="X12" s="629"/>
      <c r="Y12" s="3597"/>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78"/>
      <c r="Q13" s="1327">
        <f t="shared" si="6"/>
        <v>111</v>
      </c>
      <c r="R13" s="627" t="s">
        <v>25</v>
      </c>
      <c r="S13" s="628">
        <f t="shared" si="0"/>
        <v>100</v>
      </c>
      <c r="T13" s="627" t="s">
        <v>25</v>
      </c>
      <c r="U13" s="628">
        <f t="shared" si="1"/>
        <v>100</v>
      </c>
      <c r="V13" s="627" t="s">
        <v>25</v>
      </c>
      <c r="W13" s="628">
        <f t="shared" si="2"/>
        <v>100</v>
      </c>
      <c r="X13" s="629"/>
      <c r="Y13" s="3597"/>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95" t="s">
        <v>2272</v>
      </c>
      <c r="Q14" s="1334" t="str">
        <f t="shared" si="6"/>
        <v>交通便捷度</v>
      </c>
      <c r="R14" s="631" t="s">
        <v>25</v>
      </c>
      <c r="S14" s="632">
        <f t="shared" si="0"/>
        <v>100</v>
      </c>
      <c r="T14" s="631" t="s">
        <v>25</v>
      </c>
      <c r="U14" s="632">
        <f t="shared" si="1"/>
        <v>100</v>
      </c>
      <c r="V14" s="631" t="s">
        <v>25</v>
      </c>
      <c r="W14" s="632">
        <f t="shared" si="2"/>
        <v>100</v>
      </c>
      <c r="X14" s="1335"/>
      <c r="Y14" s="3595"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96"/>
      <c r="Q15" s="1334"/>
      <c r="R15" s="631"/>
      <c r="S15" s="632"/>
      <c r="T15" s="631"/>
      <c r="U15" s="632"/>
      <c r="V15" s="631"/>
      <c r="W15" s="632"/>
      <c r="X15" s="1335"/>
      <c r="Y15" s="3596"/>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96"/>
      <c r="Q16" s="1334" t="str">
        <f>B16</f>
        <v>公共配套设施</v>
      </c>
      <c r="R16" s="631" t="s">
        <v>25</v>
      </c>
      <c r="S16" s="632">
        <f>F16</f>
        <v>100</v>
      </c>
      <c r="T16" s="631" t="s">
        <v>25</v>
      </c>
      <c r="U16" s="632">
        <f>H16</f>
        <v>100</v>
      </c>
      <c r="V16" s="631" t="s">
        <v>25</v>
      </c>
      <c r="W16" s="632">
        <f>J16</f>
        <v>100</v>
      </c>
      <c r="X16" s="1335"/>
      <c r="Y16" s="359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96"/>
      <c r="Q17" s="1334"/>
      <c r="R17" s="631"/>
      <c r="S17" s="632"/>
      <c r="T17" s="631"/>
      <c r="U17" s="632"/>
      <c r="V17" s="631"/>
      <c r="W17" s="632"/>
      <c r="X17" s="1335"/>
      <c r="Y17" s="3596"/>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96"/>
      <c r="Q18" s="1334" t="str">
        <f>B18</f>
        <v>基础设施水平</v>
      </c>
      <c r="R18" s="631" t="s">
        <v>25</v>
      </c>
      <c r="S18" s="632">
        <f>F18</f>
        <v>100</v>
      </c>
      <c r="T18" s="631" t="s">
        <v>25</v>
      </c>
      <c r="U18" s="632">
        <f>H18</f>
        <v>100</v>
      </c>
      <c r="V18" s="631" t="s">
        <v>25</v>
      </c>
      <c r="W18" s="632">
        <f>J18</f>
        <v>100</v>
      </c>
      <c r="X18" s="1335"/>
      <c r="Y18" s="359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96"/>
      <c r="Q19" s="1334"/>
      <c r="R19" s="631"/>
      <c r="S19" s="632"/>
      <c r="T19" s="631"/>
      <c r="U19" s="632"/>
      <c r="V19" s="631"/>
      <c r="W19" s="632"/>
      <c r="X19" s="1335"/>
      <c r="Y19" s="3596"/>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96"/>
      <c r="Q20" s="1334" t="str">
        <f>B20</f>
        <v>自然及人文环境</v>
      </c>
      <c r="R20" s="631" t="s">
        <v>25</v>
      </c>
      <c r="S20" s="632">
        <f>F20</f>
        <v>100</v>
      </c>
      <c r="T20" s="631" t="s">
        <v>25</v>
      </c>
      <c r="U20" s="632">
        <f>H20</f>
        <v>100</v>
      </c>
      <c r="V20" s="631" t="s">
        <v>25</v>
      </c>
      <c r="W20" s="632">
        <f>J20</f>
        <v>100</v>
      </c>
      <c r="X20" s="1335"/>
      <c r="Y20" s="359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96"/>
      <c r="Q21" s="1334"/>
      <c r="R21" s="631"/>
      <c r="S21" s="632"/>
      <c r="T21" s="631"/>
      <c r="U21" s="632"/>
      <c r="V21" s="631"/>
      <c r="W21" s="632"/>
      <c r="X21" s="1335"/>
      <c r="Y21" s="3596"/>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96"/>
      <c r="Q22" s="1334" t="str">
        <f>B22</f>
        <v>楼层</v>
      </c>
      <c r="R22" s="631" t="s">
        <v>25</v>
      </c>
      <c r="S22" s="632">
        <f>F22</f>
        <v>100</v>
      </c>
      <c r="T22" s="631" t="s">
        <v>25</v>
      </c>
      <c r="U22" s="632">
        <f>H22</f>
        <v>100</v>
      </c>
      <c r="V22" s="631" t="s">
        <v>25</v>
      </c>
      <c r="W22" s="632">
        <f>J22</f>
        <v>100</v>
      </c>
      <c r="X22" s="1335"/>
      <c r="Y22" s="3596"/>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96"/>
      <c r="Q23" s="1334">
        <f>B23</f>
        <v>111</v>
      </c>
      <c r="R23" s="631" t="s">
        <v>25</v>
      </c>
      <c r="S23" s="632">
        <f>F23</f>
        <v>100</v>
      </c>
      <c r="T23" s="631" t="s">
        <v>25</v>
      </c>
      <c r="U23" s="632">
        <f>H23</f>
        <v>100</v>
      </c>
      <c r="V23" s="631" t="s">
        <v>25</v>
      </c>
      <c r="W23" s="632">
        <f>J23</f>
        <v>100</v>
      </c>
      <c r="X23" s="1335"/>
      <c r="Y23" s="3596"/>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96"/>
      <c r="Q24" s="1334">
        <f t="shared" ref="Q24:Q34" si="11">B24</f>
        <v>111</v>
      </c>
      <c r="R24" s="631" t="s">
        <v>25</v>
      </c>
      <c r="S24" s="632">
        <f>F24</f>
        <v>100</v>
      </c>
      <c r="T24" s="631" t="s">
        <v>25</v>
      </c>
      <c r="U24" s="632">
        <f>H24</f>
        <v>100</v>
      </c>
      <c r="V24" s="631" t="s">
        <v>25</v>
      </c>
      <c r="W24" s="632">
        <f>J24</f>
        <v>100</v>
      </c>
      <c r="X24" s="1335"/>
      <c r="Y24" s="3596"/>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596"/>
      <c r="Q25" s="1327">
        <f t="shared" si="11"/>
        <v>111</v>
      </c>
      <c r="R25" s="627" t="s">
        <v>25</v>
      </c>
      <c r="S25" s="628">
        <f>F25</f>
        <v>100</v>
      </c>
      <c r="T25" s="627" t="s">
        <v>25</v>
      </c>
      <c r="U25" s="628">
        <f>H25</f>
        <v>100</v>
      </c>
      <c r="V25" s="627" t="s">
        <v>25</v>
      </c>
      <c r="W25" s="628">
        <f>J25</f>
        <v>100</v>
      </c>
      <c r="X25" s="629"/>
      <c r="Y25" s="3596"/>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583"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84"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84"/>
      <c r="Q27" s="633" t="str">
        <f t="shared" si="11"/>
        <v>成新率</v>
      </c>
      <c r="R27" s="634" t="s">
        <v>25</v>
      </c>
      <c r="S27" s="635" t="e">
        <f t="shared" si="12"/>
        <v>#N/A</v>
      </c>
      <c r="T27" s="634" t="s">
        <v>25</v>
      </c>
      <c r="U27" s="635" t="e">
        <f t="shared" si="13"/>
        <v>#N/A</v>
      </c>
      <c r="V27" s="634" t="s">
        <v>25</v>
      </c>
      <c r="W27" s="635" t="e">
        <f t="shared" si="14"/>
        <v>#N/A</v>
      </c>
      <c r="X27" s="636"/>
      <c r="Y27" s="3584"/>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84"/>
      <c r="Q28" s="1334" t="str">
        <f t="shared" si="11"/>
        <v>物业等级</v>
      </c>
      <c r="R28" s="631" t="s">
        <v>25</v>
      </c>
      <c r="S28" s="632">
        <f t="shared" si="12"/>
        <v>100</v>
      </c>
      <c r="T28" s="631" t="s">
        <v>25</v>
      </c>
      <c r="U28" s="632">
        <f t="shared" si="13"/>
        <v>100</v>
      </c>
      <c r="V28" s="631" t="s">
        <v>25</v>
      </c>
      <c r="W28" s="632">
        <f t="shared" si="14"/>
        <v>100</v>
      </c>
      <c r="X28" s="1335"/>
      <c r="Y28" s="3584"/>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84"/>
      <c r="Q29" s="1334" t="str">
        <f t="shared" si="11"/>
        <v>有无电梯</v>
      </c>
      <c r="R29" s="631" t="s">
        <v>25</v>
      </c>
      <c r="S29" s="632">
        <f t="shared" si="12"/>
        <v>100</v>
      </c>
      <c r="T29" s="631" t="s">
        <v>25</v>
      </c>
      <c r="U29" s="632">
        <f t="shared" si="13"/>
        <v>100</v>
      </c>
      <c r="V29" s="631" t="s">
        <v>25</v>
      </c>
      <c r="W29" s="632">
        <f t="shared" si="14"/>
        <v>100</v>
      </c>
      <c r="X29" s="1335"/>
      <c r="Y29" s="3584"/>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84"/>
      <c r="Q30" s="1334" t="str">
        <f t="shared" si="11"/>
        <v>建筑面积</v>
      </c>
      <c r="R30" s="631" t="s">
        <v>25</v>
      </c>
      <c r="S30" s="632" t="e">
        <f t="shared" si="12"/>
        <v>#N/A</v>
      </c>
      <c r="T30" s="631" t="s">
        <v>25</v>
      </c>
      <c r="U30" s="632" t="e">
        <f t="shared" si="13"/>
        <v>#N/A</v>
      </c>
      <c r="V30" s="631" t="s">
        <v>25</v>
      </c>
      <c r="W30" s="632" t="e">
        <f t="shared" si="14"/>
        <v>#N/A</v>
      </c>
      <c r="X30" s="1335"/>
      <c r="Y30" s="3584"/>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84"/>
      <c r="Q31" s="1327" t="str">
        <f t="shared" si="11"/>
        <v>是否封闭</v>
      </c>
      <c r="R31" s="627" t="s">
        <v>25</v>
      </c>
      <c r="S31" s="628">
        <f t="shared" si="12"/>
        <v>100</v>
      </c>
      <c r="T31" s="627" t="s">
        <v>25</v>
      </c>
      <c r="U31" s="628">
        <f t="shared" si="13"/>
        <v>100</v>
      </c>
      <c r="V31" s="627" t="s">
        <v>25</v>
      </c>
      <c r="W31" s="628">
        <f t="shared" si="14"/>
        <v>100</v>
      </c>
      <c r="X31" s="629"/>
      <c r="Y31" s="3584"/>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84" t="s">
        <v>2277</v>
      </c>
      <c r="Q32" s="1334">
        <f t="shared" si="11"/>
        <v>111</v>
      </c>
      <c r="R32" s="631" t="s">
        <v>25</v>
      </c>
      <c r="S32" s="632">
        <f t="shared" si="12"/>
        <v>100</v>
      </c>
      <c r="T32" s="631" t="s">
        <v>25</v>
      </c>
      <c r="U32" s="632">
        <f t="shared" si="13"/>
        <v>100</v>
      </c>
      <c r="V32" s="631" t="s">
        <v>25</v>
      </c>
      <c r="W32" s="632">
        <f t="shared" si="14"/>
        <v>100</v>
      </c>
      <c r="X32" s="1335"/>
      <c r="Y32" s="3584"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84"/>
      <c r="Q33" s="1334">
        <f t="shared" si="11"/>
        <v>111</v>
      </c>
      <c r="R33" s="631" t="s">
        <v>25</v>
      </c>
      <c r="S33" s="632">
        <f t="shared" si="12"/>
        <v>100</v>
      </c>
      <c r="T33" s="631" t="s">
        <v>25</v>
      </c>
      <c r="U33" s="632">
        <f t="shared" si="13"/>
        <v>100</v>
      </c>
      <c r="V33" s="631" t="s">
        <v>25</v>
      </c>
      <c r="W33" s="632">
        <f t="shared" si="14"/>
        <v>100</v>
      </c>
      <c r="X33" s="1335"/>
      <c r="Y33" s="3584"/>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584"/>
      <c r="Q34" s="1334">
        <f t="shared" si="11"/>
        <v>111</v>
      </c>
      <c r="R34" s="631" t="s">
        <v>25</v>
      </c>
      <c r="S34" s="632">
        <f t="shared" si="12"/>
        <v>100</v>
      </c>
      <c r="T34" s="631" t="s">
        <v>25</v>
      </c>
      <c r="U34" s="632">
        <f t="shared" si="13"/>
        <v>100</v>
      </c>
      <c r="V34" s="631" t="s">
        <v>25</v>
      </c>
      <c r="W34" s="632">
        <f t="shared" si="14"/>
        <v>100</v>
      </c>
      <c r="X34" s="1335"/>
      <c r="Y34" s="3584"/>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78" t="str">
        <f>A35</f>
        <v>成交单价（元/平方米）</v>
      </c>
      <c r="Q35" s="3578"/>
      <c r="R35" s="3579">
        <f>E35</f>
        <v>0</v>
      </c>
      <c r="S35" s="3579"/>
      <c r="T35" s="3579">
        <f>G35</f>
        <v>0</v>
      </c>
      <c r="U35" s="3579"/>
      <c r="V35" s="3579">
        <f>I35</f>
        <v>0</v>
      </c>
      <c r="W35" s="3579"/>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78" t="str">
        <f>A36</f>
        <v>比较价值（元/平方米）</v>
      </c>
      <c r="Q36" s="3578"/>
      <c r="R36" s="3579" t="e">
        <f>IF(E1="售价",ROUND(PRODUCT(R35,AA7:AA34),0),ROUND(PRODUCT(R35,AA7:AA34),1))</f>
        <v>#DIV/0!</v>
      </c>
      <c r="S36" s="3579"/>
      <c r="T36" s="3579" t="e">
        <f>IF(E1="售价",ROUND(PRODUCT(T35,AB7:AB34),0),ROUND(PRODUCT(T35,AB7:AB34),1))</f>
        <v>#DIV/0!</v>
      </c>
      <c r="U36" s="3579"/>
      <c r="V36" s="3579" t="e">
        <f>IF(E1="售价",ROUND(PRODUCT(V35,AC7:AC34),0),ROUND(PRODUCT(V35,AC7:AC34),1))</f>
        <v>#DIV/0!</v>
      </c>
      <c r="W36" s="3579"/>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580" t="str">
        <f>A37</f>
        <v>估价对象XX用房的比较价值（楼面单价，元/平方米）</v>
      </c>
      <c r="Q37" s="3581"/>
      <c r="R37" s="3582" t="e">
        <f>IF(E1="售价",ROUND(IF(D36="简单平均",AVERAGE(R36:W36),R36*F36+T36*H36+V36*J36),0),ROUND(IF(D36="简单平均",AVERAGE(R36:V36),R36*F36+T36*H36+V36*J36),1))</f>
        <v>#DIV/0!</v>
      </c>
      <c r="S37" s="3582"/>
      <c r="T37" s="3582"/>
      <c r="U37" s="3582"/>
      <c r="V37" s="3582"/>
      <c r="W37" s="3582"/>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2013-6</v>
      </c>
      <c r="D46" s="1188">
        <f>EDATE(C46,-1)</f>
        <v>41395</v>
      </c>
      <c r="E46" s="1188">
        <f t="shared" ref="E46:O46" si="16">EDATE(D46,-1)</f>
        <v>41365</v>
      </c>
      <c r="F46" s="1188">
        <f t="shared" si="16"/>
        <v>41334</v>
      </c>
      <c r="G46" s="1188">
        <f t="shared" si="16"/>
        <v>41306</v>
      </c>
      <c r="H46" s="1188">
        <f t="shared" si="16"/>
        <v>41275</v>
      </c>
      <c r="I46" s="1188">
        <f t="shared" si="16"/>
        <v>41244</v>
      </c>
      <c r="J46" s="1188">
        <f t="shared" si="16"/>
        <v>41214</v>
      </c>
      <c r="K46" s="1188">
        <f t="shared" si="16"/>
        <v>41183</v>
      </c>
      <c r="L46" s="1188">
        <f t="shared" si="16"/>
        <v>41153</v>
      </c>
      <c r="M46" s="1188">
        <f t="shared" si="16"/>
        <v>41122</v>
      </c>
      <c r="N46" s="1188">
        <f t="shared" si="16"/>
        <v>41091</v>
      </c>
      <c r="O46" s="1188">
        <f t="shared" si="16"/>
        <v>41061</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受您的委托，我公司对北京市昌平区回龙观镇龙跃苑东四区8号楼房地产进行了预评估。</v>
      </c>
      <c r="B4" s="1349"/>
      <c r="C4" s="1349"/>
      <c r="D4" s="1349"/>
      <c r="E4" s="1349"/>
      <c r="F4" s="1349"/>
      <c r="G4" s="1349"/>
    </row>
    <row r="5" spans="1:7" ht="18.75">
      <c r="A5" s="1350" t="s">
        <v>1254</v>
      </c>
    </row>
    <row r="6" spans="1:7" s="1351" customFormat="1" ht="36">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估价对象为北京市昌平区回龙观镇龙跃苑东四区8号楼房地产，为所有。根据《房屋所有权证》[]，估价对象建筑面积为126.61平方米。估价对象用途为。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2013年6月18日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本次估价的“房地产价值”是指在正常市场情况下，在价值时点2013年6月18日，估价对象规划用途为，假定未设立法定优先受偿款下的房地产市场价值。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61" t="s">
        <v>2248</v>
      </c>
      <c r="D4" s="3562"/>
      <c r="E4" s="3563" t="s">
        <v>2249</v>
      </c>
      <c r="F4" s="3564"/>
      <c r="G4" s="3561" t="s">
        <v>2250</v>
      </c>
      <c r="H4" s="3562"/>
      <c r="I4" s="3561" t="s">
        <v>2251</v>
      </c>
      <c r="J4" s="3562"/>
      <c r="K4" s="1962" t="s">
        <v>2252</v>
      </c>
      <c r="L4" s="2991"/>
      <c r="M4" s="2992"/>
      <c r="N4" s="2992"/>
      <c r="O4" s="2992"/>
      <c r="P4" s="3565" t="s">
        <v>2253</v>
      </c>
      <c r="Q4" s="3566"/>
      <c r="R4" s="3550" t="s">
        <v>2249</v>
      </c>
      <c r="S4" s="3551"/>
      <c r="T4" s="3550" t="s">
        <v>2250</v>
      </c>
      <c r="U4" s="3551"/>
      <c r="V4" s="3571" t="s">
        <v>2251</v>
      </c>
      <c r="W4" s="3571"/>
      <c r="X4" s="1665"/>
      <c r="Y4" s="3550" t="s">
        <v>2253</v>
      </c>
      <c r="Z4" s="3551"/>
      <c r="AA4" s="3558" t="s">
        <v>2249</v>
      </c>
      <c r="AB4" s="3559" t="s">
        <v>2250</v>
      </c>
      <c r="AC4" s="3558" t="s">
        <v>2251</v>
      </c>
    </row>
    <row r="5" spans="1:30" ht="15">
      <c r="A5" s="1667"/>
      <c r="B5" s="1668"/>
      <c r="C5" s="3572" t="s">
        <v>2254</v>
      </c>
      <c r="D5" s="3547"/>
      <c r="E5" s="3575" t="s">
        <v>2255</v>
      </c>
      <c r="F5" s="3576"/>
      <c r="G5" s="3572" t="s">
        <v>2256</v>
      </c>
      <c r="H5" s="3547"/>
      <c r="I5" s="3572" t="s">
        <v>2257</v>
      </c>
      <c r="J5" s="3547"/>
      <c r="K5" s="1962"/>
      <c r="L5" s="2991"/>
      <c r="M5" s="2992"/>
      <c r="N5" s="2992"/>
      <c r="O5" s="2992"/>
      <c r="P5" s="3567"/>
      <c r="Q5" s="3568"/>
      <c r="R5" s="3552"/>
      <c r="S5" s="3553"/>
      <c r="T5" s="3552"/>
      <c r="U5" s="3553"/>
      <c r="V5" s="3571"/>
      <c r="W5" s="3571"/>
      <c r="X5" s="1665"/>
      <c r="Y5" s="3552"/>
      <c r="Z5" s="3553"/>
      <c r="AA5" s="3559"/>
      <c r="AB5" s="3559"/>
      <c r="AC5" s="3559"/>
    </row>
    <row r="6" spans="1:30" ht="15.75" thickBot="1">
      <c r="A6" s="1670"/>
      <c r="B6" s="1671"/>
      <c r="C6" s="3544" t="s">
        <v>2258</v>
      </c>
      <c r="D6" s="3545"/>
      <c r="E6" s="3573" t="s">
        <v>2258</v>
      </c>
      <c r="F6" s="3574"/>
      <c r="G6" s="3544" t="s">
        <v>2258</v>
      </c>
      <c r="H6" s="3545"/>
      <c r="I6" s="3544" t="s">
        <v>2258</v>
      </c>
      <c r="J6" s="3545"/>
      <c r="K6" s="1962" t="s">
        <v>2259</v>
      </c>
      <c r="L6" s="2991"/>
      <c r="M6" s="2992"/>
      <c r="N6" s="2992"/>
      <c r="O6" s="2992"/>
      <c r="P6" s="3569"/>
      <c r="Q6" s="3570"/>
      <c r="R6" s="3552"/>
      <c r="S6" s="3553"/>
      <c r="T6" s="3554"/>
      <c r="U6" s="3555"/>
      <c r="V6" s="3571"/>
      <c r="W6" s="3571"/>
      <c r="X6" s="1665"/>
      <c r="Y6" s="3554"/>
      <c r="Z6" s="3555"/>
      <c r="AA6" s="3560"/>
      <c r="AB6" s="3560"/>
      <c r="AC6" s="3560"/>
    </row>
    <row r="7" spans="1:30" s="1684" customFormat="1" ht="15.75" thickBot="1">
      <c r="A7" s="1672" t="s">
        <v>2260</v>
      </c>
      <c r="B7" s="1673"/>
      <c r="C7" s="1674">
        <f>'数据-取费表'!B2</f>
        <v>41443</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48" t="s">
        <v>2261</v>
      </c>
      <c r="Q7" s="3556"/>
      <c r="R7" s="1680" t="s">
        <v>25</v>
      </c>
      <c r="S7" s="1681">
        <f t="shared" ref="S7:S15" si="0">F7</f>
        <v>0</v>
      </c>
      <c r="T7" s="1680" t="s">
        <v>25</v>
      </c>
      <c r="U7" s="1681">
        <f t="shared" ref="U7:U15" si="1">H7</f>
        <v>0</v>
      </c>
      <c r="V7" s="1680" t="s">
        <v>25</v>
      </c>
      <c r="W7" s="1681">
        <f t="shared" ref="W7:W15" si="2">J7</f>
        <v>0</v>
      </c>
      <c r="X7" s="1682"/>
      <c r="Y7" s="3548" t="s">
        <v>2261</v>
      </c>
      <c r="Z7" s="3549"/>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48" t="s">
        <v>2264</v>
      </c>
      <c r="Q8" s="3549"/>
      <c r="R8" s="1680" t="s">
        <v>25</v>
      </c>
      <c r="S8" s="1681">
        <f t="shared" si="0"/>
        <v>0</v>
      </c>
      <c r="T8" s="1680" t="s">
        <v>25</v>
      </c>
      <c r="U8" s="1681">
        <f t="shared" si="1"/>
        <v>0</v>
      </c>
      <c r="V8" s="1680" t="s">
        <v>25</v>
      </c>
      <c r="W8" s="1681">
        <f t="shared" si="2"/>
        <v>0</v>
      </c>
      <c r="X8" s="1682"/>
      <c r="Y8" s="3548" t="s">
        <v>2264</v>
      </c>
      <c r="Z8" s="3549"/>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34" t="s">
        <v>2267</v>
      </c>
      <c r="Q9" s="1634" t="str">
        <f t="shared" ref="Q9:Q15" si="6">B9</f>
        <v>用途</v>
      </c>
      <c r="R9" s="1680" t="s">
        <v>25</v>
      </c>
      <c r="S9" s="1681">
        <f t="shared" si="0"/>
        <v>100</v>
      </c>
      <c r="T9" s="1680" t="s">
        <v>25</v>
      </c>
      <c r="U9" s="1681">
        <f t="shared" si="1"/>
        <v>100</v>
      </c>
      <c r="V9" s="1680" t="s">
        <v>25</v>
      </c>
      <c r="W9" s="1681">
        <f t="shared" si="2"/>
        <v>100</v>
      </c>
      <c r="X9" s="1682"/>
      <c r="Y9" s="3367"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100</v>
      </c>
      <c r="G10" s="1756"/>
      <c r="H10" s="1696">
        <f>ROUND(100/'数据-取费表'!B14,0)</f>
        <v>100</v>
      </c>
      <c r="I10" s="1756"/>
      <c r="J10" s="1696">
        <f>ROUND(100/'数据-取费表'!B14,0)</f>
        <v>100</v>
      </c>
      <c r="K10" s="1966"/>
      <c r="L10" s="2993"/>
      <c r="M10" s="2994"/>
      <c r="N10" s="2994"/>
      <c r="O10" s="3039"/>
      <c r="P10" s="3534"/>
      <c r="Q10" s="1634" t="str">
        <f t="shared" si="6"/>
        <v>土地使用年限（年）</v>
      </c>
      <c r="R10" s="1680" t="s">
        <v>25</v>
      </c>
      <c r="S10" s="1681">
        <f t="shared" si="0"/>
        <v>100</v>
      </c>
      <c r="T10" s="1680" t="s">
        <v>25</v>
      </c>
      <c r="U10" s="1681">
        <f t="shared" si="1"/>
        <v>100</v>
      </c>
      <c r="V10" s="1680" t="s">
        <v>25</v>
      </c>
      <c r="W10" s="1681">
        <f t="shared" si="2"/>
        <v>100</v>
      </c>
      <c r="X10" s="1682"/>
      <c r="Y10" s="3367"/>
      <c r="Z10" s="1692" t="str">
        <f t="shared" si="7"/>
        <v>土地使用年限（年）</v>
      </c>
      <c r="AA10" s="1683">
        <f t="shared" si="3"/>
        <v>1</v>
      </c>
      <c r="AB10" s="1683">
        <f t="shared" si="4"/>
        <v>1</v>
      </c>
      <c r="AC10" s="1683">
        <f t="shared" si="5"/>
        <v>1</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34"/>
      <c r="Q11" s="1634" t="str">
        <f t="shared" si="6"/>
        <v>容积率</v>
      </c>
      <c r="R11" s="1680" t="s">
        <v>25</v>
      </c>
      <c r="S11" s="1681" t="e">
        <f t="shared" si="0"/>
        <v>#N/A</v>
      </c>
      <c r="T11" s="1680" t="s">
        <v>25</v>
      </c>
      <c r="U11" s="1681" t="e">
        <f t="shared" si="1"/>
        <v>#N/A</v>
      </c>
      <c r="V11" s="1680" t="s">
        <v>25</v>
      </c>
      <c r="W11" s="1681" t="e">
        <f t="shared" si="2"/>
        <v>#N/A</v>
      </c>
      <c r="X11" s="1682"/>
      <c r="Y11" s="3367"/>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34"/>
      <c r="Q12" s="1634" t="str">
        <f t="shared" si="6"/>
        <v>配建</v>
      </c>
      <c r="R12" s="1680" t="s">
        <v>25</v>
      </c>
      <c r="S12" s="1681">
        <f t="shared" si="0"/>
        <v>100</v>
      </c>
      <c r="T12" s="1680" t="s">
        <v>25</v>
      </c>
      <c r="U12" s="1681">
        <f t="shared" si="1"/>
        <v>100</v>
      </c>
      <c r="V12" s="1680" t="s">
        <v>25</v>
      </c>
      <c r="W12" s="1681">
        <f t="shared" si="2"/>
        <v>100</v>
      </c>
      <c r="X12" s="1682"/>
      <c r="Y12" s="3367"/>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34"/>
      <c r="Q13" s="1634">
        <f t="shared" si="6"/>
        <v>111</v>
      </c>
      <c r="R13" s="1680" t="s">
        <v>25</v>
      </c>
      <c r="S13" s="1681">
        <f t="shared" si="0"/>
        <v>100</v>
      </c>
      <c r="T13" s="1680" t="s">
        <v>25</v>
      </c>
      <c r="U13" s="1681">
        <f t="shared" si="1"/>
        <v>100</v>
      </c>
      <c r="V13" s="1680" t="s">
        <v>25</v>
      </c>
      <c r="W13" s="1681">
        <f t="shared" si="2"/>
        <v>100</v>
      </c>
      <c r="X13" s="1682"/>
      <c r="Y13" s="3367"/>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34"/>
      <c r="Q14" s="1634">
        <f t="shared" si="6"/>
        <v>111</v>
      </c>
      <c r="R14" s="1680" t="s">
        <v>25</v>
      </c>
      <c r="S14" s="1681">
        <f t="shared" si="0"/>
        <v>100</v>
      </c>
      <c r="T14" s="1680" t="s">
        <v>25</v>
      </c>
      <c r="U14" s="1681">
        <f t="shared" si="1"/>
        <v>100</v>
      </c>
      <c r="V14" s="1680" t="s">
        <v>25</v>
      </c>
      <c r="W14" s="1681">
        <f t="shared" si="2"/>
        <v>100</v>
      </c>
      <c r="X14" s="1682"/>
      <c r="Y14" s="3367"/>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37" t="s">
        <v>2272</v>
      </c>
      <c r="Q15" s="1615" t="str">
        <f t="shared" si="6"/>
        <v>居住社区成熟度</v>
      </c>
      <c r="R15" s="1724" t="s">
        <v>25</v>
      </c>
      <c r="S15" s="1725">
        <f t="shared" si="0"/>
        <v>100</v>
      </c>
      <c r="T15" s="1724" t="s">
        <v>25</v>
      </c>
      <c r="U15" s="1725">
        <f t="shared" si="1"/>
        <v>100</v>
      </c>
      <c r="V15" s="1724" t="s">
        <v>25</v>
      </c>
      <c r="W15" s="1725">
        <f t="shared" si="2"/>
        <v>100</v>
      </c>
      <c r="X15" s="1665"/>
      <c r="Y15" s="3537"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38"/>
      <c r="Q16" s="1615"/>
      <c r="R16" s="1724"/>
      <c r="S16" s="1725"/>
      <c r="T16" s="1724"/>
      <c r="U16" s="1725"/>
      <c r="V16" s="1724"/>
      <c r="W16" s="1725"/>
      <c r="X16" s="1665"/>
      <c r="Y16" s="3538"/>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38"/>
      <c r="Q17" s="1615" t="str">
        <f>B17</f>
        <v>商业繁华度</v>
      </c>
      <c r="R17" s="1724" t="s">
        <v>25</v>
      </c>
      <c r="S17" s="1725">
        <f>F17</f>
        <v>100</v>
      </c>
      <c r="T17" s="1724" t="s">
        <v>25</v>
      </c>
      <c r="U17" s="1725">
        <f>H17</f>
        <v>100</v>
      </c>
      <c r="V17" s="1724" t="s">
        <v>25</v>
      </c>
      <c r="W17" s="1725">
        <f>J17</f>
        <v>100</v>
      </c>
      <c r="X17" s="1665"/>
      <c r="Y17" s="3538"/>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38"/>
      <c r="Q18" s="1615"/>
      <c r="R18" s="1724"/>
      <c r="S18" s="1725"/>
      <c r="T18" s="1724"/>
      <c r="U18" s="1725"/>
      <c r="V18" s="1724"/>
      <c r="W18" s="1725"/>
      <c r="X18" s="1665"/>
      <c r="Y18" s="3538"/>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38"/>
      <c r="Q19" s="1615" t="str">
        <f>B19</f>
        <v>办公集聚程度</v>
      </c>
      <c r="R19" s="1724" t="s">
        <v>25</v>
      </c>
      <c r="S19" s="1725">
        <f>F19</f>
        <v>100</v>
      </c>
      <c r="T19" s="1724" t="s">
        <v>25</v>
      </c>
      <c r="U19" s="1725">
        <f>H19</f>
        <v>100</v>
      </c>
      <c r="V19" s="1724" t="s">
        <v>25</v>
      </c>
      <c r="W19" s="1725">
        <f>J19</f>
        <v>100</v>
      </c>
      <c r="X19" s="1665"/>
      <c r="Y19" s="3538"/>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38"/>
      <c r="Q20" s="1615"/>
      <c r="R20" s="1724"/>
      <c r="S20" s="1725"/>
      <c r="T20" s="1724"/>
      <c r="U20" s="1725"/>
      <c r="V20" s="1724"/>
      <c r="W20" s="1725"/>
      <c r="X20" s="1665"/>
      <c r="Y20" s="3538"/>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38"/>
      <c r="Q21" s="1615" t="str">
        <f>B21</f>
        <v>交通便捷度</v>
      </c>
      <c r="R21" s="1724" t="s">
        <v>25</v>
      </c>
      <c r="S21" s="1725">
        <f>F21</f>
        <v>100</v>
      </c>
      <c r="T21" s="1724" t="s">
        <v>25</v>
      </c>
      <c r="U21" s="1725">
        <f>H21</f>
        <v>100</v>
      </c>
      <c r="V21" s="1724" t="s">
        <v>25</v>
      </c>
      <c r="W21" s="1725">
        <f>J21</f>
        <v>100</v>
      </c>
      <c r="X21" s="1665"/>
      <c r="Y21" s="3538"/>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38"/>
      <c r="Q22" s="1615"/>
      <c r="R22" s="1724"/>
      <c r="S22" s="1725"/>
      <c r="T22" s="1724"/>
      <c r="U22" s="1725"/>
      <c r="V22" s="1724"/>
      <c r="W22" s="1725"/>
      <c r="X22" s="1665"/>
      <c r="Y22" s="3538"/>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38"/>
      <c r="Q23" s="1615" t="str">
        <f t="shared" ref="Q23:Q37" si="8">B23</f>
        <v>区域土地利用方向</v>
      </c>
      <c r="R23" s="1724" t="s">
        <v>25</v>
      </c>
      <c r="S23" s="1725">
        <f>F23</f>
        <v>100</v>
      </c>
      <c r="T23" s="1724" t="s">
        <v>25</v>
      </c>
      <c r="U23" s="1725">
        <f>H23</f>
        <v>100</v>
      </c>
      <c r="V23" s="1724" t="s">
        <v>25</v>
      </c>
      <c r="W23" s="1725">
        <f>J23</f>
        <v>100</v>
      </c>
      <c r="X23" s="1665"/>
      <c r="Y23" s="3538"/>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38"/>
      <c r="Q24" s="1615"/>
      <c r="R24" s="1724"/>
      <c r="S24" s="1725"/>
      <c r="T24" s="1724"/>
      <c r="U24" s="1725"/>
      <c r="V24" s="1724"/>
      <c r="W24" s="1725"/>
      <c r="X24" s="1665"/>
      <c r="Y24" s="3538"/>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38"/>
      <c r="Q25" s="1615" t="str">
        <f t="shared" si="8"/>
        <v>自然及人文环境状况</v>
      </c>
      <c r="R25" s="1724" t="s">
        <v>25</v>
      </c>
      <c r="S25" s="1725">
        <f>F25</f>
        <v>100</v>
      </c>
      <c r="T25" s="1724" t="s">
        <v>25</v>
      </c>
      <c r="U25" s="1725">
        <f>H25</f>
        <v>100</v>
      </c>
      <c r="V25" s="1724" t="s">
        <v>25</v>
      </c>
      <c r="W25" s="1725">
        <f>J25</f>
        <v>100</v>
      </c>
      <c r="X25" s="1665"/>
      <c r="Y25" s="3538"/>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38"/>
      <c r="Q26" s="1615"/>
      <c r="R26" s="1724"/>
      <c r="S26" s="1725"/>
      <c r="T26" s="1724"/>
      <c r="U26" s="1725"/>
      <c r="V26" s="1724"/>
      <c r="W26" s="1725"/>
      <c r="X26" s="1665"/>
      <c r="Y26" s="3538"/>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38"/>
      <c r="Q27" s="1634" t="str">
        <f t="shared" ref="Q27" si="9">B27</f>
        <v>公共配套设施</v>
      </c>
      <c r="R27" s="1680" t="s">
        <v>25</v>
      </c>
      <c r="S27" s="1681">
        <f>F27</f>
        <v>100</v>
      </c>
      <c r="T27" s="1680" t="s">
        <v>25</v>
      </c>
      <c r="U27" s="1681">
        <f>H27</f>
        <v>100</v>
      </c>
      <c r="V27" s="1680" t="s">
        <v>25</v>
      </c>
      <c r="W27" s="1681">
        <f>J27</f>
        <v>100</v>
      </c>
      <c r="X27" s="1665"/>
      <c r="Y27" s="3538"/>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38"/>
      <c r="Q28" s="1615"/>
      <c r="R28" s="1724"/>
      <c r="S28" s="1725"/>
      <c r="T28" s="1724"/>
      <c r="U28" s="1725"/>
      <c r="V28" s="1724"/>
      <c r="W28" s="1725"/>
      <c r="X28" s="1665"/>
      <c r="Y28" s="3538"/>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38"/>
      <c r="Q29" s="1634" t="str">
        <f t="shared" si="8"/>
        <v>基础设施水平</v>
      </c>
      <c r="R29" s="1680" t="s">
        <v>25</v>
      </c>
      <c r="S29" s="1681">
        <f>F29</f>
        <v>100</v>
      </c>
      <c r="T29" s="1680" t="s">
        <v>25</v>
      </c>
      <c r="U29" s="1681">
        <f>H29</f>
        <v>100</v>
      </c>
      <c r="V29" s="1680" t="s">
        <v>25</v>
      </c>
      <c r="W29" s="1681">
        <f>J29</f>
        <v>100</v>
      </c>
      <c r="X29" s="1682"/>
      <c r="Y29" s="3538"/>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38"/>
      <c r="Q30" s="1634"/>
      <c r="R30" s="1680"/>
      <c r="S30" s="1681"/>
      <c r="T30" s="1680"/>
      <c r="U30" s="1681"/>
      <c r="V30" s="1680"/>
      <c r="W30" s="1681"/>
      <c r="X30" s="1682"/>
      <c r="Y30" s="3538"/>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38"/>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38"/>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38"/>
      <c r="Q32" s="1615" t="str">
        <f t="shared" si="8"/>
        <v>毗邻道路的类型与等级</v>
      </c>
      <c r="R32" s="1724" t="s">
        <v>25</v>
      </c>
      <c r="S32" s="1725">
        <f t="shared" si="10"/>
        <v>100</v>
      </c>
      <c r="T32" s="1724" t="s">
        <v>25</v>
      </c>
      <c r="U32" s="1725">
        <f t="shared" si="11"/>
        <v>100</v>
      </c>
      <c r="V32" s="1724" t="s">
        <v>25</v>
      </c>
      <c r="W32" s="1725">
        <f t="shared" si="12"/>
        <v>100</v>
      </c>
      <c r="X32" s="1665"/>
      <c r="Y32" s="3538"/>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38"/>
      <c r="Q33" s="1615"/>
      <c r="R33" s="1724"/>
      <c r="S33" s="1725"/>
      <c r="T33" s="1724"/>
      <c r="U33" s="1725"/>
      <c r="V33" s="1724"/>
      <c r="W33" s="1725"/>
      <c r="X33" s="1665"/>
      <c r="Y33" s="3538"/>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38"/>
      <c r="Q34" s="1615" t="str">
        <f t="shared" si="8"/>
        <v>土地级别</v>
      </c>
      <c r="R34" s="1724" t="s">
        <v>25</v>
      </c>
      <c r="S34" s="1725">
        <f t="shared" si="10"/>
        <v>100</v>
      </c>
      <c r="T34" s="1724" t="s">
        <v>25</v>
      </c>
      <c r="U34" s="1725">
        <f t="shared" si="11"/>
        <v>100</v>
      </c>
      <c r="V34" s="1724" t="s">
        <v>25</v>
      </c>
      <c r="W34" s="1725">
        <f t="shared" si="12"/>
        <v>100</v>
      </c>
      <c r="X34" s="1665"/>
      <c r="Y34" s="3538"/>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38"/>
      <c r="Q35" s="1615">
        <f t="shared" si="8"/>
        <v>111</v>
      </c>
      <c r="R35" s="1724" t="s">
        <v>25</v>
      </c>
      <c r="S35" s="1725">
        <f t="shared" si="10"/>
        <v>100</v>
      </c>
      <c r="T35" s="1724" t="s">
        <v>25</v>
      </c>
      <c r="U35" s="1725">
        <f t="shared" si="11"/>
        <v>100</v>
      </c>
      <c r="V35" s="1724" t="s">
        <v>25</v>
      </c>
      <c r="W35" s="1725">
        <f t="shared" si="12"/>
        <v>100</v>
      </c>
      <c r="X35" s="1665"/>
      <c r="Y35" s="3538"/>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7" t="s">
        <v>2277</v>
      </c>
      <c r="Q36" s="1615">
        <f t="shared" si="8"/>
        <v>111</v>
      </c>
      <c r="R36" s="1724" t="s">
        <v>25</v>
      </c>
      <c r="S36" s="1725">
        <f t="shared" si="10"/>
        <v>100</v>
      </c>
      <c r="T36" s="1724" t="s">
        <v>25</v>
      </c>
      <c r="U36" s="1725">
        <f t="shared" si="11"/>
        <v>100</v>
      </c>
      <c r="V36" s="1724" t="s">
        <v>25</v>
      </c>
      <c r="W36" s="1725">
        <f t="shared" si="12"/>
        <v>100</v>
      </c>
      <c r="X36" s="1665"/>
      <c r="Y36" s="3542"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42"/>
      <c r="Q37" s="1615">
        <f t="shared" si="8"/>
        <v>111</v>
      </c>
      <c r="R37" s="1765" t="s">
        <v>25</v>
      </c>
      <c r="S37" s="1766">
        <f t="shared" si="10"/>
        <v>100</v>
      </c>
      <c r="T37" s="1765" t="s">
        <v>25</v>
      </c>
      <c r="U37" s="1766">
        <f t="shared" si="11"/>
        <v>100</v>
      </c>
      <c r="V37" s="1765" t="s">
        <v>25</v>
      </c>
      <c r="W37" s="1766">
        <f t="shared" si="12"/>
        <v>100</v>
      </c>
      <c r="X37" s="1767"/>
      <c r="Y37" s="3542"/>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42"/>
      <c r="Q38" s="1615" t="str">
        <f>B38</f>
        <v>宗地面积</v>
      </c>
      <c r="R38" s="1724" t="s">
        <v>25</v>
      </c>
      <c r="S38" s="1725" t="e">
        <f t="shared" si="10"/>
        <v>#N/A</v>
      </c>
      <c r="T38" s="1724" t="s">
        <v>25</v>
      </c>
      <c r="U38" s="1725" t="e">
        <f t="shared" si="11"/>
        <v>#N/A</v>
      </c>
      <c r="V38" s="1724" t="s">
        <v>25</v>
      </c>
      <c r="W38" s="1725" t="e">
        <f t="shared" si="12"/>
        <v>#N/A</v>
      </c>
      <c r="X38" s="1665"/>
      <c r="Y38" s="3542"/>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42"/>
      <c r="Q39" s="1615" t="str">
        <f t="shared" ref="Q39:Q45" si="14">B39</f>
        <v>宗地形状</v>
      </c>
      <c r="R39" s="1724" t="s">
        <v>25</v>
      </c>
      <c r="S39" s="1725">
        <f t="shared" si="10"/>
        <v>100</v>
      </c>
      <c r="T39" s="1724" t="s">
        <v>25</v>
      </c>
      <c r="U39" s="1725">
        <f t="shared" si="11"/>
        <v>100</v>
      </c>
      <c r="V39" s="1724" t="s">
        <v>25</v>
      </c>
      <c r="W39" s="1725">
        <f t="shared" si="12"/>
        <v>100</v>
      </c>
      <c r="X39" s="1665"/>
      <c r="Y39" s="3542"/>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42"/>
      <c r="Q40" s="1615" t="str">
        <f t="shared" si="14"/>
        <v>临街宽度及深度</v>
      </c>
      <c r="R40" s="1724" t="s">
        <v>25</v>
      </c>
      <c r="S40" s="1725">
        <f t="shared" si="10"/>
        <v>100</v>
      </c>
      <c r="T40" s="1724" t="s">
        <v>25</v>
      </c>
      <c r="U40" s="1725">
        <f t="shared" si="11"/>
        <v>100</v>
      </c>
      <c r="V40" s="1724" t="s">
        <v>25</v>
      </c>
      <c r="W40" s="1725">
        <f t="shared" si="12"/>
        <v>100</v>
      </c>
      <c r="X40" s="1665"/>
      <c r="Y40" s="3542"/>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42"/>
      <c r="Q41" s="1615" t="str">
        <f t="shared" si="14"/>
        <v>宗地开发程度</v>
      </c>
      <c r="R41" s="1680" t="s">
        <v>25</v>
      </c>
      <c r="S41" s="1681">
        <f t="shared" si="10"/>
        <v>100</v>
      </c>
      <c r="T41" s="1680" t="s">
        <v>25</v>
      </c>
      <c r="U41" s="1681">
        <f t="shared" si="11"/>
        <v>100</v>
      </c>
      <c r="V41" s="1680" t="s">
        <v>25</v>
      </c>
      <c r="W41" s="1681">
        <f t="shared" si="12"/>
        <v>100</v>
      </c>
      <c r="X41" s="1682"/>
      <c r="Y41" s="3542"/>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42" t="s">
        <v>2277</v>
      </c>
      <c r="Q42" s="1615" t="str">
        <f t="shared" si="14"/>
        <v>工程地质条件</v>
      </c>
      <c r="R42" s="1724" t="s">
        <v>25</v>
      </c>
      <c r="S42" s="1725">
        <f t="shared" si="10"/>
        <v>100</v>
      </c>
      <c r="T42" s="1724" t="s">
        <v>25</v>
      </c>
      <c r="U42" s="1725">
        <f t="shared" si="11"/>
        <v>100</v>
      </c>
      <c r="V42" s="1724" t="s">
        <v>25</v>
      </c>
      <c r="W42" s="1725">
        <f t="shared" si="12"/>
        <v>100</v>
      </c>
      <c r="X42" s="1665"/>
      <c r="Y42" s="3542"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42"/>
      <c r="Q43" s="1615">
        <f t="shared" si="14"/>
        <v>111</v>
      </c>
      <c r="R43" s="1724" t="s">
        <v>25</v>
      </c>
      <c r="S43" s="1725">
        <f t="shared" si="10"/>
        <v>100</v>
      </c>
      <c r="T43" s="1724" t="s">
        <v>25</v>
      </c>
      <c r="U43" s="1725">
        <f t="shared" si="11"/>
        <v>100</v>
      </c>
      <c r="V43" s="1724" t="s">
        <v>25</v>
      </c>
      <c r="W43" s="1725">
        <f t="shared" si="12"/>
        <v>100</v>
      </c>
      <c r="X43" s="1665"/>
      <c r="Y43" s="3542"/>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42"/>
      <c r="Q44" s="1615">
        <f t="shared" si="14"/>
        <v>111</v>
      </c>
      <c r="R44" s="1724" t="s">
        <v>25</v>
      </c>
      <c r="S44" s="1725">
        <f t="shared" si="10"/>
        <v>100</v>
      </c>
      <c r="T44" s="1724" t="s">
        <v>25</v>
      </c>
      <c r="U44" s="1725">
        <f t="shared" si="11"/>
        <v>100</v>
      </c>
      <c r="V44" s="1724" t="s">
        <v>25</v>
      </c>
      <c r="W44" s="1725">
        <f t="shared" si="12"/>
        <v>100</v>
      </c>
      <c r="X44" s="1665"/>
      <c r="Y44" s="3542"/>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42"/>
      <c r="Q45" s="1615">
        <f t="shared" si="14"/>
        <v>111</v>
      </c>
      <c r="R45" s="1765" t="s">
        <v>25</v>
      </c>
      <c r="S45" s="1766">
        <f t="shared" si="10"/>
        <v>100</v>
      </c>
      <c r="T45" s="1765" t="s">
        <v>25</v>
      </c>
      <c r="U45" s="1766">
        <f t="shared" si="11"/>
        <v>100</v>
      </c>
      <c r="V45" s="1765" t="s">
        <v>25</v>
      </c>
      <c r="W45" s="1766">
        <f t="shared" si="12"/>
        <v>100</v>
      </c>
      <c r="X45" s="1767"/>
      <c r="Y45" s="3542"/>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34" t="str">
        <f>A46</f>
        <v>成交单价</v>
      </c>
      <c r="Q46" s="3534"/>
      <c r="R46" s="3571">
        <f>E46</f>
        <v>0</v>
      </c>
      <c r="S46" s="3571"/>
      <c r="T46" s="3571">
        <f>G46</f>
        <v>0</v>
      </c>
      <c r="U46" s="3571"/>
      <c r="V46" s="3571">
        <f>I46</f>
        <v>0</v>
      </c>
      <c r="W46" s="3571"/>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34" t="str">
        <f>A47</f>
        <v>比较价值（元/平方米）</v>
      </c>
      <c r="Q47" s="3534"/>
      <c r="R47" s="3620" t="e">
        <f>ROUND(PRODUCT(R46,AA7:AA45),0)</f>
        <v>#DIV/0!</v>
      </c>
      <c r="S47" s="3620"/>
      <c r="T47" s="3620" t="e">
        <f>ROUND(PRODUCT(T46,AB7:AB45),0)</f>
        <v>#DIV/0!</v>
      </c>
      <c r="U47" s="3620"/>
      <c r="V47" s="3620" t="e">
        <f>ROUND(PRODUCT(V46,AC7:AC45),0)</f>
        <v>#DIV/0!</v>
      </c>
      <c r="W47" s="3620"/>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31" t="str">
        <f>A48</f>
        <v>估价对象XX用房的比较价值（楼面单价，元/平方米）</v>
      </c>
      <c r="Q48" s="3532"/>
      <c r="R48" s="3621" t="e">
        <f>ROUND(IF(D47="简单平均",AVERAGE(R47:W47),R47*F47+T47*H47+V47*J47),0)</f>
        <v>#DIV/0!</v>
      </c>
      <c r="S48" s="3621"/>
      <c r="T48" s="3621"/>
      <c r="U48" s="3621"/>
      <c r="V48" s="3621"/>
      <c r="W48" s="3621"/>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2013-6-1</v>
      </c>
      <c r="D68" s="2037">
        <f>EDATE(C68,-3)</f>
        <v>41334</v>
      </c>
      <c r="E68" s="2037">
        <f t="shared" ref="E68:O68" si="18">EDATE(D68,-3)</f>
        <v>41244</v>
      </c>
      <c r="F68" s="2037">
        <f t="shared" si="18"/>
        <v>41153</v>
      </c>
      <c r="G68" s="2037">
        <f t="shared" si="18"/>
        <v>41061</v>
      </c>
      <c r="H68" s="2037">
        <f t="shared" si="18"/>
        <v>40969</v>
      </c>
      <c r="I68" s="2037">
        <f t="shared" si="18"/>
        <v>40878</v>
      </c>
      <c r="J68" s="2037">
        <f t="shared" si="18"/>
        <v>40787</v>
      </c>
      <c r="K68" s="2037">
        <f t="shared" si="18"/>
        <v>40695</v>
      </c>
      <c r="L68" s="2037">
        <f t="shared" si="18"/>
        <v>40603</v>
      </c>
      <c r="M68" s="2037">
        <f t="shared" si="18"/>
        <v>40513</v>
      </c>
      <c r="N68" s="2037">
        <f t="shared" si="18"/>
        <v>40422</v>
      </c>
      <c r="O68" s="2037">
        <f t="shared" si="18"/>
        <v>40330</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2013-2</v>
      </c>
      <c r="D70" s="2045" t="str">
        <f>YEAR(D68)&amp;"-"&amp;ROUNDUP(MONTH(D68)/3,0)</f>
        <v>2013-1</v>
      </c>
      <c r="E70" s="2045" t="str">
        <f t="shared" ref="E70:O70" si="19">YEAR(E68)&amp;"-"&amp;ROUNDUP(MONTH(E68)/3,0)</f>
        <v>2012-4</v>
      </c>
      <c r="F70" s="2045" t="str">
        <f t="shared" si="19"/>
        <v>2012-3</v>
      </c>
      <c r="G70" s="2045" t="str">
        <f t="shared" si="19"/>
        <v>2012-2</v>
      </c>
      <c r="H70" s="2045" t="str">
        <f t="shared" si="19"/>
        <v>2012-1</v>
      </c>
      <c r="I70" s="2045" t="str">
        <f t="shared" si="19"/>
        <v>2011-4</v>
      </c>
      <c r="J70" s="2045" t="str">
        <f t="shared" si="19"/>
        <v>2011-3</v>
      </c>
      <c r="K70" s="2045" t="str">
        <f t="shared" si="19"/>
        <v>2011-2</v>
      </c>
      <c r="L70" s="2045" t="str">
        <f t="shared" si="19"/>
        <v>2011-1</v>
      </c>
      <c r="M70" s="2045" t="str">
        <f t="shared" si="19"/>
        <v>2010-4</v>
      </c>
      <c r="N70" s="2045" t="str">
        <f t="shared" si="19"/>
        <v>2010-3</v>
      </c>
      <c r="O70" s="2045" t="str">
        <f t="shared" si="19"/>
        <v>2010-2</v>
      </c>
      <c r="P70" s="2046"/>
    </row>
    <row r="71" spans="1:17" s="1684" customFormat="1" ht="29.25" customHeight="1">
      <c r="A71" s="2048" t="s">
        <v>2477</v>
      </c>
      <c r="B71" s="2049" t="str">
        <f>"北京市平均增长率"&amp;TEXT(SUMIF(基准地价修正!N21:N25,A71,基准地价修正!P21:P25),"0.00%")</f>
        <v>北京市平均增长率0.00%</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601" t="s">
        <v>2248</v>
      </c>
      <c r="D4" s="3602"/>
      <c r="E4" s="3603" t="s">
        <v>2249</v>
      </c>
      <c r="F4" s="3604"/>
      <c r="G4" s="3601" t="s">
        <v>2250</v>
      </c>
      <c r="H4" s="3602"/>
      <c r="I4" s="3601" t="s">
        <v>2251</v>
      </c>
      <c r="J4" s="3602"/>
      <c r="K4" s="496" t="s">
        <v>2252</v>
      </c>
      <c r="L4" s="3019"/>
      <c r="M4" s="3020"/>
      <c r="N4" s="3020"/>
      <c r="O4" s="3020"/>
      <c r="P4" s="3605" t="s">
        <v>2253</v>
      </c>
      <c r="Q4" s="3606"/>
      <c r="R4" s="3588" t="s">
        <v>2249</v>
      </c>
      <c r="S4" s="3589"/>
      <c r="T4" s="3588" t="s">
        <v>2250</v>
      </c>
      <c r="U4" s="3589"/>
      <c r="V4" s="3611" t="s">
        <v>2251</v>
      </c>
      <c r="W4" s="3611"/>
      <c r="X4" s="1335"/>
      <c r="Y4" s="3588" t="s">
        <v>2253</v>
      </c>
      <c r="Z4" s="3589"/>
      <c r="AA4" s="3598" t="s">
        <v>2249</v>
      </c>
      <c r="AB4" s="3599" t="s">
        <v>2250</v>
      </c>
      <c r="AC4" s="3598" t="s">
        <v>2251</v>
      </c>
    </row>
    <row r="5" spans="1:29" ht="15">
      <c r="A5" s="297"/>
      <c r="B5" s="298"/>
      <c r="C5" s="3614" t="s">
        <v>2254</v>
      </c>
      <c r="D5" s="3615"/>
      <c r="E5" s="3612" t="s">
        <v>2255</v>
      </c>
      <c r="F5" s="3613"/>
      <c r="G5" s="3614" t="s">
        <v>2256</v>
      </c>
      <c r="H5" s="3615"/>
      <c r="I5" s="3614" t="s">
        <v>2257</v>
      </c>
      <c r="J5" s="3615"/>
      <c r="K5" s="496"/>
      <c r="L5" s="3019"/>
      <c r="M5" s="3020"/>
      <c r="N5" s="3020"/>
      <c r="O5" s="3020"/>
      <c r="P5" s="3607"/>
      <c r="Q5" s="3608"/>
      <c r="R5" s="3590"/>
      <c r="S5" s="3591"/>
      <c r="T5" s="3590"/>
      <c r="U5" s="3591"/>
      <c r="V5" s="3611"/>
      <c r="W5" s="3611"/>
      <c r="X5" s="1335"/>
      <c r="Y5" s="3590"/>
      <c r="Z5" s="3591"/>
      <c r="AA5" s="3599"/>
      <c r="AB5" s="3599"/>
      <c r="AC5" s="3599"/>
    </row>
    <row r="6" spans="1:29" ht="15.75" thickBot="1">
      <c r="A6" s="299"/>
      <c r="B6" s="300"/>
      <c r="C6" s="3616" t="s">
        <v>2258</v>
      </c>
      <c r="D6" s="3617"/>
      <c r="E6" s="3618" t="s">
        <v>2258</v>
      </c>
      <c r="F6" s="3619"/>
      <c r="G6" s="3616" t="s">
        <v>2258</v>
      </c>
      <c r="H6" s="3617"/>
      <c r="I6" s="3616" t="s">
        <v>2258</v>
      </c>
      <c r="J6" s="3617"/>
      <c r="K6" s="496" t="s">
        <v>2259</v>
      </c>
      <c r="L6" s="3019"/>
      <c r="M6" s="3020"/>
      <c r="N6" s="3020"/>
      <c r="O6" s="3020"/>
      <c r="P6" s="3609"/>
      <c r="Q6" s="3610"/>
      <c r="R6" s="3590"/>
      <c r="S6" s="3591"/>
      <c r="T6" s="3592"/>
      <c r="U6" s="3593"/>
      <c r="V6" s="3611"/>
      <c r="W6" s="3611"/>
      <c r="X6" s="1335"/>
      <c r="Y6" s="3592"/>
      <c r="Z6" s="3593"/>
      <c r="AA6" s="3600"/>
      <c r="AB6" s="3600"/>
      <c r="AC6" s="3600"/>
    </row>
    <row r="7" spans="1:29" s="25" customFormat="1" ht="15.75" thickBot="1">
      <c r="A7" s="301" t="s">
        <v>2260</v>
      </c>
      <c r="B7" s="302"/>
      <c r="C7" s="303">
        <f>'数据-取费表'!B2</f>
        <v>41443</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6" t="s">
        <v>2261</v>
      </c>
      <c r="Q7" s="3594"/>
      <c r="R7" s="627" t="s">
        <v>25</v>
      </c>
      <c r="S7" s="628">
        <f t="shared" ref="S7:S15" si="0">F7</f>
        <v>0</v>
      </c>
      <c r="T7" s="627" t="s">
        <v>25</v>
      </c>
      <c r="U7" s="628">
        <f t="shared" ref="U7:U15" si="1">H7</f>
        <v>0</v>
      </c>
      <c r="V7" s="627" t="s">
        <v>25</v>
      </c>
      <c r="W7" s="628">
        <f t="shared" ref="W7:W15" si="2">J7</f>
        <v>0</v>
      </c>
      <c r="X7" s="629"/>
      <c r="Y7" s="3586" t="s">
        <v>2261</v>
      </c>
      <c r="Z7" s="3587"/>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6" t="s">
        <v>2264</v>
      </c>
      <c r="Q8" s="3587"/>
      <c r="R8" s="627" t="s">
        <v>25</v>
      </c>
      <c r="S8" s="628">
        <f t="shared" si="0"/>
        <v>0</v>
      </c>
      <c r="T8" s="627" t="s">
        <v>25</v>
      </c>
      <c r="U8" s="628">
        <f t="shared" si="1"/>
        <v>0</v>
      </c>
      <c r="V8" s="627" t="s">
        <v>25</v>
      </c>
      <c r="W8" s="628">
        <f t="shared" si="2"/>
        <v>0</v>
      </c>
      <c r="X8" s="629"/>
      <c r="Y8" s="3586" t="s">
        <v>2264</v>
      </c>
      <c r="Z8" s="3587"/>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78" t="s">
        <v>2267</v>
      </c>
      <c r="Q9" s="1327" t="str">
        <f t="shared" ref="Q9:Q15" si="6">B9</f>
        <v>用途</v>
      </c>
      <c r="R9" s="627" t="s">
        <v>25</v>
      </c>
      <c r="S9" s="628">
        <f t="shared" si="0"/>
        <v>100</v>
      </c>
      <c r="T9" s="627" t="s">
        <v>25</v>
      </c>
      <c r="U9" s="628">
        <f t="shared" si="1"/>
        <v>100</v>
      </c>
      <c r="V9" s="627" t="s">
        <v>25</v>
      </c>
      <c r="W9" s="628">
        <f t="shared" si="2"/>
        <v>100</v>
      </c>
      <c r="X9" s="629"/>
      <c r="Y9" s="3597"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100</v>
      </c>
      <c r="G10" s="322"/>
      <c r="H10" s="29">
        <f>ROUND(100/'数据-取费表'!B14,0)</f>
        <v>100</v>
      </c>
      <c r="I10" s="322"/>
      <c r="J10" s="29">
        <f>ROUND(100/'数据-取费表'!B14,0)</f>
        <v>100</v>
      </c>
      <c r="K10" s="553"/>
      <c r="L10" s="3024"/>
      <c r="M10" s="3025"/>
      <c r="N10" s="3025"/>
      <c r="O10" s="3026"/>
      <c r="P10" s="3578"/>
      <c r="Q10" s="1327" t="str">
        <f t="shared" si="6"/>
        <v>土地使用年限（年）</v>
      </c>
      <c r="R10" s="627" t="s">
        <v>25</v>
      </c>
      <c r="S10" s="628">
        <f t="shared" si="0"/>
        <v>100</v>
      </c>
      <c r="T10" s="627" t="s">
        <v>25</v>
      </c>
      <c r="U10" s="628">
        <f t="shared" si="1"/>
        <v>100</v>
      </c>
      <c r="V10" s="627" t="s">
        <v>25</v>
      </c>
      <c r="W10" s="628">
        <f t="shared" si="2"/>
        <v>100</v>
      </c>
      <c r="X10" s="629"/>
      <c r="Y10" s="3597"/>
      <c r="Z10" s="19" t="str">
        <f t="shared" si="7"/>
        <v>土地使用年限（年）</v>
      </c>
      <c r="AA10" s="630">
        <f t="shared" si="3"/>
        <v>1</v>
      </c>
      <c r="AB10" s="630">
        <f t="shared" si="4"/>
        <v>1</v>
      </c>
      <c r="AC10" s="630">
        <f t="shared" si="5"/>
        <v>1</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78"/>
      <c r="Q11" s="1327" t="str">
        <f t="shared" si="6"/>
        <v>容积率</v>
      </c>
      <c r="R11" s="627" t="s">
        <v>25</v>
      </c>
      <c r="S11" s="628" t="e">
        <f t="shared" si="0"/>
        <v>#N/A</v>
      </c>
      <c r="T11" s="627" t="s">
        <v>25</v>
      </c>
      <c r="U11" s="628" t="e">
        <f t="shared" si="1"/>
        <v>#N/A</v>
      </c>
      <c r="V11" s="627" t="s">
        <v>25</v>
      </c>
      <c r="W11" s="628" t="e">
        <f t="shared" si="2"/>
        <v>#N/A</v>
      </c>
      <c r="X11" s="629"/>
      <c r="Y11" s="3597"/>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78"/>
      <c r="Q12" s="1327">
        <f t="shared" si="6"/>
        <v>111</v>
      </c>
      <c r="R12" s="627" t="s">
        <v>25</v>
      </c>
      <c r="S12" s="628">
        <f t="shared" si="0"/>
        <v>100</v>
      </c>
      <c r="T12" s="627" t="s">
        <v>25</v>
      </c>
      <c r="U12" s="628">
        <f t="shared" si="1"/>
        <v>100</v>
      </c>
      <c r="V12" s="627" t="s">
        <v>25</v>
      </c>
      <c r="W12" s="628">
        <f t="shared" si="2"/>
        <v>100</v>
      </c>
      <c r="X12" s="629"/>
      <c r="Y12" s="3597"/>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78"/>
      <c r="Q13" s="1327">
        <f t="shared" si="6"/>
        <v>111</v>
      </c>
      <c r="R13" s="627" t="s">
        <v>25</v>
      </c>
      <c r="S13" s="628">
        <f t="shared" si="0"/>
        <v>100</v>
      </c>
      <c r="T13" s="627" t="s">
        <v>25</v>
      </c>
      <c r="U13" s="628">
        <f t="shared" si="1"/>
        <v>100</v>
      </c>
      <c r="V13" s="627" t="s">
        <v>25</v>
      </c>
      <c r="W13" s="628">
        <f t="shared" si="2"/>
        <v>100</v>
      </c>
      <c r="X13" s="629"/>
      <c r="Y13" s="3597"/>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78"/>
      <c r="Q14" s="1327">
        <f t="shared" si="6"/>
        <v>111</v>
      </c>
      <c r="R14" s="627" t="s">
        <v>25</v>
      </c>
      <c r="S14" s="628">
        <f t="shared" si="0"/>
        <v>100</v>
      </c>
      <c r="T14" s="627" t="s">
        <v>25</v>
      </c>
      <c r="U14" s="628">
        <f t="shared" si="1"/>
        <v>100</v>
      </c>
      <c r="V14" s="627" t="s">
        <v>25</v>
      </c>
      <c r="W14" s="628">
        <f t="shared" si="2"/>
        <v>100</v>
      </c>
      <c r="X14" s="629"/>
      <c r="Y14" s="3597"/>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95" t="s">
        <v>2272</v>
      </c>
      <c r="Q15" s="1334" t="str">
        <f t="shared" si="6"/>
        <v>产业集聚程度</v>
      </c>
      <c r="R15" s="631" t="s">
        <v>25</v>
      </c>
      <c r="S15" s="632">
        <f t="shared" si="0"/>
        <v>100</v>
      </c>
      <c r="T15" s="631" t="s">
        <v>25</v>
      </c>
      <c r="U15" s="632">
        <f t="shared" si="1"/>
        <v>100</v>
      </c>
      <c r="V15" s="631" t="s">
        <v>25</v>
      </c>
      <c r="W15" s="632">
        <f t="shared" si="2"/>
        <v>100</v>
      </c>
      <c r="X15" s="1335"/>
      <c r="Y15" s="3595"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96"/>
      <c r="Q16" s="1334"/>
      <c r="R16" s="631"/>
      <c r="S16" s="632"/>
      <c r="T16" s="631"/>
      <c r="U16" s="632"/>
      <c r="V16" s="631"/>
      <c r="W16" s="632"/>
      <c r="X16" s="1335"/>
      <c r="Y16" s="3596"/>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96"/>
      <c r="Q17" s="1334" t="str">
        <f>B17</f>
        <v>交通便捷度</v>
      </c>
      <c r="R17" s="631" t="s">
        <v>25</v>
      </c>
      <c r="S17" s="632">
        <f>F17</f>
        <v>100</v>
      </c>
      <c r="T17" s="631" t="s">
        <v>25</v>
      </c>
      <c r="U17" s="632">
        <f>H17</f>
        <v>100</v>
      </c>
      <c r="V17" s="631" t="s">
        <v>25</v>
      </c>
      <c r="W17" s="632">
        <f>J17</f>
        <v>100</v>
      </c>
      <c r="X17" s="1335"/>
      <c r="Y17" s="359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596"/>
      <c r="Q18" s="1334"/>
      <c r="R18" s="631"/>
      <c r="S18" s="632"/>
      <c r="T18" s="631"/>
      <c r="U18" s="632"/>
      <c r="V18" s="631"/>
      <c r="W18" s="632"/>
      <c r="X18" s="1335"/>
      <c r="Y18" s="3596"/>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96"/>
      <c r="Q19" s="1334" t="str">
        <f t="shared" ref="Q19:Q33" si="8">B19</f>
        <v>区域土地利用方向</v>
      </c>
      <c r="R19" s="631" t="s">
        <v>25</v>
      </c>
      <c r="S19" s="632">
        <f>F19</f>
        <v>100</v>
      </c>
      <c r="T19" s="631" t="s">
        <v>25</v>
      </c>
      <c r="U19" s="632">
        <f>H19</f>
        <v>100</v>
      </c>
      <c r="V19" s="631" t="s">
        <v>25</v>
      </c>
      <c r="W19" s="632">
        <f>J19</f>
        <v>100</v>
      </c>
      <c r="X19" s="1335"/>
      <c r="Y19" s="359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96"/>
      <c r="Q20" s="1334"/>
      <c r="R20" s="631"/>
      <c r="S20" s="632"/>
      <c r="T20" s="631"/>
      <c r="U20" s="632"/>
      <c r="V20" s="631"/>
      <c r="W20" s="632"/>
      <c r="X20" s="1335"/>
      <c r="Y20" s="3596"/>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96"/>
      <c r="Q21" s="1334" t="str">
        <f t="shared" si="8"/>
        <v>环境状况</v>
      </c>
      <c r="R21" s="631" t="s">
        <v>25</v>
      </c>
      <c r="S21" s="632">
        <f>F21</f>
        <v>100</v>
      </c>
      <c r="T21" s="631" t="s">
        <v>25</v>
      </c>
      <c r="U21" s="632">
        <f>H21</f>
        <v>100</v>
      </c>
      <c r="V21" s="631" t="s">
        <v>25</v>
      </c>
      <c r="W21" s="632">
        <f>J21</f>
        <v>100</v>
      </c>
      <c r="X21" s="1335"/>
      <c r="Y21" s="359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96"/>
      <c r="Q22" s="1334"/>
      <c r="R22" s="631"/>
      <c r="S22" s="632"/>
      <c r="T22" s="631"/>
      <c r="U22" s="632"/>
      <c r="V22" s="631"/>
      <c r="W22" s="632"/>
      <c r="X22" s="1335"/>
      <c r="Y22" s="3596"/>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96"/>
      <c r="Q23" s="1327" t="str">
        <f t="shared" si="8"/>
        <v>公共配套设施</v>
      </c>
      <c r="R23" s="627" t="s">
        <v>25</v>
      </c>
      <c r="S23" s="628">
        <f>F23</f>
        <v>100</v>
      </c>
      <c r="T23" s="627" t="s">
        <v>25</v>
      </c>
      <c r="U23" s="628">
        <f>H23</f>
        <v>100</v>
      </c>
      <c r="V23" s="627" t="s">
        <v>25</v>
      </c>
      <c r="W23" s="628">
        <f>J23</f>
        <v>100</v>
      </c>
      <c r="X23" s="629"/>
      <c r="Y23" s="3596"/>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596"/>
      <c r="Q24" s="1327"/>
      <c r="R24" s="627"/>
      <c r="S24" s="628"/>
      <c r="T24" s="627"/>
      <c r="U24" s="628"/>
      <c r="V24" s="627"/>
      <c r="W24" s="628"/>
      <c r="X24" s="629"/>
      <c r="Y24" s="3596"/>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96"/>
      <c r="Q25" s="1327" t="str">
        <f t="shared" ref="Q25" si="9">B25</f>
        <v>基础设施水平</v>
      </c>
      <c r="R25" s="627" t="s">
        <v>25</v>
      </c>
      <c r="S25" s="628">
        <f>F25</f>
        <v>100</v>
      </c>
      <c r="T25" s="627" t="s">
        <v>25</v>
      </c>
      <c r="U25" s="628">
        <f>H25</f>
        <v>100</v>
      </c>
      <c r="V25" s="627" t="s">
        <v>25</v>
      </c>
      <c r="W25" s="628">
        <f>J25</f>
        <v>100</v>
      </c>
      <c r="X25" s="629"/>
      <c r="Y25" s="3596"/>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596"/>
      <c r="Q26" s="1327"/>
      <c r="R26" s="627"/>
      <c r="S26" s="628"/>
      <c r="T26" s="627"/>
      <c r="U26" s="628"/>
      <c r="V26" s="627"/>
      <c r="W26" s="628"/>
      <c r="X26" s="629"/>
      <c r="Y26" s="3596"/>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9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96"/>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96"/>
      <c r="Q28" s="1334" t="str">
        <f t="shared" si="8"/>
        <v>毗邻道路的类型与等级</v>
      </c>
      <c r="R28" s="631" t="s">
        <v>25</v>
      </c>
      <c r="S28" s="632">
        <f t="shared" si="10"/>
        <v>100</v>
      </c>
      <c r="T28" s="631" t="s">
        <v>25</v>
      </c>
      <c r="U28" s="632">
        <f t="shared" si="11"/>
        <v>100</v>
      </c>
      <c r="V28" s="631" t="s">
        <v>25</v>
      </c>
      <c r="W28" s="632">
        <f t="shared" si="12"/>
        <v>100</v>
      </c>
      <c r="X28" s="1335"/>
      <c r="Y28" s="359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96"/>
      <c r="Q29" s="1334"/>
      <c r="R29" s="631"/>
      <c r="S29" s="632"/>
      <c r="T29" s="631"/>
      <c r="U29" s="632"/>
      <c r="V29" s="631"/>
      <c r="W29" s="632"/>
      <c r="X29" s="1335"/>
      <c r="Y29" s="3596"/>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96"/>
      <c r="Q30" s="1334" t="str">
        <f t="shared" si="8"/>
        <v>土地级别</v>
      </c>
      <c r="R30" s="631" t="s">
        <v>25</v>
      </c>
      <c r="S30" s="632">
        <f t="shared" si="10"/>
        <v>100</v>
      </c>
      <c r="T30" s="631" t="s">
        <v>25</v>
      </c>
      <c r="U30" s="632">
        <f t="shared" si="11"/>
        <v>100</v>
      </c>
      <c r="V30" s="631" t="s">
        <v>25</v>
      </c>
      <c r="W30" s="632">
        <f t="shared" si="12"/>
        <v>100</v>
      </c>
      <c r="X30" s="1335"/>
      <c r="Y30" s="3596"/>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96"/>
      <c r="Q31" s="1334">
        <f t="shared" si="8"/>
        <v>111</v>
      </c>
      <c r="R31" s="631" t="s">
        <v>25</v>
      </c>
      <c r="S31" s="632">
        <f t="shared" si="10"/>
        <v>100</v>
      </c>
      <c r="T31" s="631" t="s">
        <v>25</v>
      </c>
      <c r="U31" s="632">
        <f t="shared" si="11"/>
        <v>100</v>
      </c>
      <c r="V31" s="631" t="s">
        <v>25</v>
      </c>
      <c r="W31" s="632">
        <f t="shared" si="12"/>
        <v>100</v>
      </c>
      <c r="X31" s="1335"/>
      <c r="Y31" s="3596"/>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83" t="s">
        <v>2277</v>
      </c>
      <c r="Q32" s="1334">
        <f t="shared" si="8"/>
        <v>111</v>
      </c>
      <c r="R32" s="631" t="s">
        <v>25</v>
      </c>
      <c r="S32" s="632">
        <f t="shared" si="10"/>
        <v>100</v>
      </c>
      <c r="T32" s="631" t="s">
        <v>25</v>
      </c>
      <c r="U32" s="632">
        <f t="shared" si="11"/>
        <v>100</v>
      </c>
      <c r="V32" s="631" t="s">
        <v>25</v>
      </c>
      <c r="W32" s="632">
        <f t="shared" si="12"/>
        <v>100</v>
      </c>
      <c r="X32" s="1335"/>
      <c r="Y32" s="3584"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84"/>
      <c r="Q33" s="1334">
        <f t="shared" si="8"/>
        <v>111</v>
      </c>
      <c r="R33" s="634" t="s">
        <v>25</v>
      </c>
      <c r="S33" s="635">
        <f t="shared" si="10"/>
        <v>100</v>
      </c>
      <c r="T33" s="634" t="s">
        <v>25</v>
      </c>
      <c r="U33" s="635">
        <f t="shared" si="11"/>
        <v>100</v>
      </c>
      <c r="V33" s="634" t="s">
        <v>25</v>
      </c>
      <c r="W33" s="635">
        <f t="shared" si="12"/>
        <v>100</v>
      </c>
      <c r="X33" s="636"/>
      <c r="Y33" s="3584"/>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84"/>
      <c r="Q34" s="1334" t="str">
        <f>B34</f>
        <v>宗地面积</v>
      </c>
      <c r="R34" s="631" t="s">
        <v>25</v>
      </c>
      <c r="S34" s="632" t="e">
        <f t="shared" si="10"/>
        <v>#N/A</v>
      </c>
      <c r="T34" s="631" t="s">
        <v>25</v>
      </c>
      <c r="U34" s="632" t="e">
        <f t="shared" si="11"/>
        <v>#N/A</v>
      </c>
      <c r="V34" s="631" t="s">
        <v>25</v>
      </c>
      <c r="W34" s="632" t="e">
        <f t="shared" si="12"/>
        <v>#N/A</v>
      </c>
      <c r="X34" s="1335"/>
      <c r="Y34" s="3584"/>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584"/>
      <c r="Q35" s="1334" t="str">
        <f t="shared" ref="Q35:Q40" si="14">B35</f>
        <v>宗地形状</v>
      </c>
      <c r="R35" s="631" t="s">
        <v>25</v>
      </c>
      <c r="S35" s="632">
        <f t="shared" si="10"/>
        <v>100</v>
      </c>
      <c r="T35" s="631" t="s">
        <v>25</v>
      </c>
      <c r="U35" s="632">
        <f t="shared" si="11"/>
        <v>100</v>
      </c>
      <c r="V35" s="631" t="s">
        <v>25</v>
      </c>
      <c r="W35" s="632">
        <f t="shared" si="12"/>
        <v>100</v>
      </c>
      <c r="X35" s="1335"/>
      <c r="Y35" s="3584"/>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584"/>
      <c r="Q36" s="1334" t="str">
        <f t="shared" si="14"/>
        <v>宗地开发程度</v>
      </c>
      <c r="R36" s="627" t="s">
        <v>25</v>
      </c>
      <c r="S36" s="628">
        <f t="shared" si="10"/>
        <v>100</v>
      </c>
      <c r="T36" s="627" t="s">
        <v>25</v>
      </c>
      <c r="U36" s="628">
        <f t="shared" si="11"/>
        <v>100</v>
      </c>
      <c r="V36" s="627" t="s">
        <v>25</v>
      </c>
      <c r="W36" s="628">
        <f t="shared" si="12"/>
        <v>100</v>
      </c>
      <c r="X36" s="629"/>
      <c r="Y36" s="3584"/>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584" t="s">
        <v>2277</v>
      </c>
      <c r="Q37" s="1334" t="str">
        <f t="shared" si="14"/>
        <v>工程地质条件</v>
      </c>
      <c r="R37" s="631" t="s">
        <v>25</v>
      </c>
      <c r="S37" s="632">
        <f t="shared" si="10"/>
        <v>100</v>
      </c>
      <c r="T37" s="631" t="s">
        <v>25</v>
      </c>
      <c r="U37" s="632">
        <f t="shared" si="11"/>
        <v>100</v>
      </c>
      <c r="V37" s="631" t="s">
        <v>25</v>
      </c>
      <c r="W37" s="632">
        <f t="shared" si="12"/>
        <v>100</v>
      </c>
      <c r="X37" s="1335"/>
      <c r="Y37" s="3584"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84"/>
      <c r="Q38" s="1334">
        <f t="shared" si="14"/>
        <v>111</v>
      </c>
      <c r="R38" s="631" t="s">
        <v>25</v>
      </c>
      <c r="S38" s="632">
        <f t="shared" si="10"/>
        <v>100</v>
      </c>
      <c r="T38" s="631" t="s">
        <v>25</v>
      </c>
      <c r="U38" s="632">
        <f t="shared" si="11"/>
        <v>100</v>
      </c>
      <c r="V38" s="631" t="s">
        <v>25</v>
      </c>
      <c r="W38" s="632">
        <f t="shared" si="12"/>
        <v>100</v>
      </c>
      <c r="X38" s="1335"/>
      <c r="Y38" s="3584"/>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84"/>
      <c r="Q39" s="1334">
        <f t="shared" si="14"/>
        <v>111</v>
      </c>
      <c r="R39" s="631" t="s">
        <v>25</v>
      </c>
      <c r="S39" s="632">
        <f t="shared" si="10"/>
        <v>100</v>
      </c>
      <c r="T39" s="631" t="s">
        <v>25</v>
      </c>
      <c r="U39" s="632">
        <f t="shared" si="11"/>
        <v>100</v>
      </c>
      <c r="V39" s="631" t="s">
        <v>25</v>
      </c>
      <c r="W39" s="632">
        <f t="shared" si="12"/>
        <v>100</v>
      </c>
      <c r="X39" s="1335"/>
      <c r="Y39" s="3584"/>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84"/>
      <c r="Q40" s="1334">
        <f t="shared" si="14"/>
        <v>111</v>
      </c>
      <c r="R40" s="634" t="s">
        <v>25</v>
      </c>
      <c r="S40" s="635">
        <f t="shared" si="10"/>
        <v>100</v>
      </c>
      <c r="T40" s="634" t="s">
        <v>25</v>
      </c>
      <c r="U40" s="635">
        <f t="shared" si="11"/>
        <v>100</v>
      </c>
      <c r="V40" s="634" t="s">
        <v>25</v>
      </c>
      <c r="W40" s="635">
        <f t="shared" si="12"/>
        <v>100</v>
      </c>
      <c r="X40" s="636"/>
      <c r="Y40" s="3584"/>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78" t="str">
        <f>A41</f>
        <v>成交单价</v>
      </c>
      <c r="Q41" s="3578"/>
      <c r="R41" s="3611">
        <f>E41</f>
        <v>0</v>
      </c>
      <c r="S41" s="3611"/>
      <c r="T41" s="3611">
        <f>G41</f>
        <v>0</v>
      </c>
      <c r="U41" s="3611"/>
      <c r="V41" s="3611">
        <f>I41</f>
        <v>0</v>
      </c>
      <c r="W41" s="3611"/>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78" t="str">
        <f>A42</f>
        <v>比较价值（元/平方米）</v>
      </c>
      <c r="Q42" s="3578"/>
      <c r="R42" s="3623" t="e">
        <f>ROUND(PRODUCT(R41,AA7:AA40),0)</f>
        <v>#DIV/0!</v>
      </c>
      <c r="S42" s="3623"/>
      <c r="T42" s="3623" t="e">
        <f>ROUND(PRODUCT(T41,AB7:AB40),0)</f>
        <v>#DIV/0!</v>
      </c>
      <c r="U42" s="3623"/>
      <c r="V42" s="3623" t="e">
        <f>ROUND(PRODUCT(V41,AC7:AC40),0)</f>
        <v>#DIV/0!</v>
      </c>
      <c r="W42" s="3623"/>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580" t="str">
        <f>A43</f>
        <v>估价对象XX用房的比较价值（楼面单价，元/平方米）</v>
      </c>
      <c r="Q43" s="3581"/>
      <c r="R43" s="3622" t="e">
        <f>ROUND(IF(D42="简单平均",AVERAGE(R42:W42),R42*F42+T42*H42+V42*J42),0)</f>
        <v>#DIV/0!</v>
      </c>
      <c r="S43" s="3622"/>
      <c r="T43" s="3622"/>
      <c r="U43" s="3622"/>
      <c r="V43" s="3622"/>
      <c r="W43" s="3622"/>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2013-6-1</v>
      </c>
      <c r="D63" s="1182">
        <f>EDATE(C63,-3)</f>
        <v>41334</v>
      </c>
      <c r="E63" s="1182">
        <f t="shared" ref="E63:O63" si="18">EDATE(D63,-3)</f>
        <v>41244</v>
      </c>
      <c r="F63" s="1182">
        <f t="shared" si="18"/>
        <v>41153</v>
      </c>
      <c r="G63" s="1182">
        <f t="shared" si="18"/>
        <v>41061</v>
      </c>
      <c r="H63" s="1182">
        <f t="shared" si="18"/>
        <v>40969</v>
      </c>
      <c r="I63" s="1182">
        <f t="shared" si="18"/>
        <v>40878</v>
      </c>
      <c r="J63" s="1182">
        <f t="shared" si="18"/>
        <v>40787</v>
      </c>
      <c r="K63" s="1182">
        <f t="shared" si="18"/>
        <v>40695</v>
      </c>
      <c r="L63" s="1182">
        <f t="shared" si="18"/>
        <v>40603</v>
      </c>
      <c r="M63" s="1182">
        <f t="shared" si="18"/>
        <v>40513</v>
      </c>
      <c r="N63" s="1182">
        <f t="shared" si="18"/>
        <v>40422</v>
      </c>
      <c r="O63" s="1182">
        <f t="shared" si="18"/>
        <v>40330</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2013-2</v>
      </c>
      <c r="D65" s="1183" t="str">
        <f t="shared" ref="D65:O65" si="19">YEAR(D63)&amp;"-"&amp;ROUNDUP(MONTH(D63)/3,0)</f>
        <v>2013-1</v>
      </c>
      <c r="E65" s="1183" t="str">
        <f t="shared" si="19"/>
        <v>2012-4</v>
      </c>
      <c r="F65" s="1183" t="str">
        <f t="shared" si="19"/>
        <v>2012-3</v>
      </c>
      <c r="G65" s="1183" t="str">
        <f t="shared" si="19"/>
        <v>2012-2</v>
      </c>
      <c r="H65" s="1183" t="str">
        <f t="shared" si="19"/>
        <v>2012-1</v>
      </c>
      <c r="I65" s="1183" t="str">
        <f t="shared" si="19"/>
        <v>2011-4</v>
      </c>
      <c r="J65" s="1183" t="str">
        <f t="shared" si="19"/>
        <v>2011-3</v>
      </c>
      <c r="K65" s="1183" t="str">
        <f t="shared" si="19"/>
        <v>2011-2</v>
      </c>
      <c r="L65" s="1183" t="str">
        <f t="shared" si="19"/>
        <v>2011-1</v>
      </c>
      <c r="M65" s="1183" t="str">
        <f t="shared" si="19"/>
        <v>2010-4</v>
      </c>
      <c r="N65" s="1183" t="str">
        <f t="shared" si="19"/>
        <v>2010-3</v>
      </c>
      <c r="O65" s="1183" t="str">
        <f t="shared" si="19"/>
        <v>2010-2</v>
      </c>
      <c r="P65" s="393"/>
    </row>
    <row r="66" spans="1:17" s="25" customFormat="1" ht="33.75" customHeight="1">
      <c r="A66" s="1599" t="s">
        <v>2496</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4" t="s">
        <v>779</v>
      </c>
      <c r="B1" s="362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0.11700000000000001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4" t="s">
        <v>105</v>
      </c>
      <c r="B1" s="3624"/>
      <c r="C1" s="3624"/>
      <c r="D1" s="3624"/>
      <c r="E1" s="3624"/>
      <c r="F1" s="362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5" t="s">
        <v>118</v>
      </c>
      <c r="B2" s="3625"/>
      <c r="C2" s="3625"/>
      <c r="D2" s="3625"/>
      <c r="E2" s="3625"/>
      <c r="F2" s="362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10060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8" t="s">
        <v>132</v>
      </c>
      <c r="B18" s="768" t="s">
        <v>517</v>
      </c>
      <c r="C18" s="769" t="s">
        <v>518</v>
      </c>
      <c r="D18" s="770"/>
      <c r="E18" s="768">
        <v>1</v>
      </c>
      <c r="F18" s="771" t="s">
        <v>519</v>
      </c>
      <c r="G18" s="772"/>
      <c r="H18" s="764"/>
      <c r="I18" s="764"/>
    </row>
    <row r="19" spans="1:9" s="773" customFormat="1" ht="19.5" customHeight="1">
      <c r="A19" s="3628"/>
      <c r="B19" s="3628" t="s">
        <v>520</v>
      </c>
      <c r="C19" s="769" t="s">
        <v>521</v>
      </c>
      <c r="D19" s="770"/>
      <c r="E19" s="768">
        <v>0.9</v>
      </c>
      <c r="F19" s="771" t="s">
        <v>522</v>
      </c>
      <c r="G19" s="772"/>
      <c r="H19" s="764"/>
      <c r="I19" s="764"/>
    </row>
    <row r="20" spans="1:9" s="773" customFormat="1" ht="19.5" customHeight="1">
      <c r="A20" s="3628"/>
      <c r="B20" s="3628"/>
      <c r="C20" s="769" t="s">
        <v>523</v>
      </c>
      <c r="D20" s="770"/>
      <c r="E20" s="768">
        <v>1.1000000000000001</v>
      </c>
      <c r="F20" s="771" t="s">
        <v>524</v>
      </c>
      <c r="G20" s="772"/>
      <c r="H20" s="764"/>
      <c r="I20" s="764"/>
    </row>
    <row r="21" spans="1:9" s="773" customFormat="1" ht="19.5" customHeight="1">
      <c r="A21" s="3628"/>
      <c r="B21" s="3628"/>
      <c r="C21" s="769" t="s">
        <v>525</v>
      </c>
      <c r="D21" s="770"/>
      <c r="E21" s="768">
        <v>0.8</v>
      </c>
      <c r="F21" s="771" t="s">
        <v>526</v>
      </c>
      <c r="G21" s="772"/>
      <c r="H21" s="764"/>
      <c r="I21" s="764"/>
    </row>
    <row r="22" spans="1:9" s="773" customFormat="1" ht="19.5" customHeight="1">
      <c r="A22" s="3628"/>
      <c r="B22" s="3628"/>
      <c r="C22" s="769" t="s">
        <v>527</v>
      </c>
      <c r="D22" s="770"/>
      <c r="E22" s="768">
        <v>0.5</v>
      </c>
      <c r="F22" s="771"/>
      <c r="G22" s="772"/>
      <c r="H22" s="764"/>
      <c r="I22" s="764"/>
    </row>
    <row r="23" spans="1:9" s="773" customFormat="1" ht="19.5" customHeight="1">
      <c r="A23" s="3628" t="s">
        <v>133</v>
      </c>
      <c r="B23" s="768" t="s">
        <v>517</v>
      </c>
      <c r="C23" s="769" t="s">
        <v>528</v>
      </c>
      <c r="D23" s="770"/>
      <c r="E23" s="768">
        <v>1</v>
      </c>
      <c r="F23" s="771" t="s">
        <v>529</v>
      </c>
      <c r="G23" s="772"/>
      <c r="H23" s="764"/>
      <c r="I23" s="764"/>
    </row>
    <row r="24" spans="1:9" s="773" customFormat="1" ht="19.5" customHeight="1">
      <c r="A24" s="3628"/>
      <c r="B24" s="3628" t="s">
        <v>520</v>
      </c>
      <c r="C24" s="769" t="s">
        <v>530</v>
      </c>
      <c r="D24" s="770"/>
      <c r="E24" s="768">
        <v>0.5</v>
      </c>
      <c r="F24" s="771"/>
      <c r="G24" s="772"/>
      <c r="H24" s="764"/>
      <c r="I24" s="764"/>
    </row>
    <row r="25" spans="1:9" s="773" customFormat="1" ht="19.5" customHeight="1">
      <c r="A25" s="3628"/>
      <c r="B25" s="3628"/>
      <c r="C25" s="769" t="s">
        <v>531</v>
      </c>
      <c r="D25" s="770"/>
      <c r="E25" s="768">
        <v>1.1000000000000001</v>
      </c>
      <c r="F25" s="771"/>
      <c r="G25" s="772"/>
      <c r="H25" s="764"/>
      <c r="I25" s="764"/>
    </row>
    <row r="26" spans="1:9" s="773" customFormat="1" ht="19.5" customHeight="1">
      <c r="A26" s="3628"/>
      <c r="B26" s="3628"/>
      <c r="C26" s="769" t="s">
        <v>532</v>
      </c>
      <c r="D26" s="770"/>
      <c r="E26" s="768">
        <v>1.1000000000000001</v>
      </c>
      <c r="F26" s="771"/>
      <c r="G26" s="772"/>
      <c r="H26" s="764"/>
      <c r="I26" s="764"/>
    </row>
    <row r="27" spans="1:9" s="773" customFormat="1" ht="19.5" customHeight="1">
      <c r="A27" s="3628"/>
      <c r="B27" s="3628"/>
      <c r="C27" s="769" t="s">
        <v>533</v>
      </c>
      <c r="D27" s="770"/>
      <c r="E27" s="768">
        <v>0.9</v>
      </c>
      <c r="F27" s="771" t="s">
        <v>534</v>
      </c>
      <c r="G27" s="772"/>
      <c r="H27" s="764"/>
      <c r="I27" s="764"/>
    </row>
    <row r="28" spans="1:9" s="773" customFormat="1" ht="19.5" customHeight="1">
      <c r="A28" s="3628"/>
      <c r="B28" s="3628"/>
      <c r="C28" s="769" t="s">
        <v>535</v>
      </c>
      <c r="D28" s="770"/>
      <c r="E28" s="768">
        <v>0.9</v>
      </c>
      <c r="F28" s="771" t="s">
        <v>536</v>
      </c>
      <c r="G28" s="772"/>
      <c r="H28" s="764"/>
      <c r="I28" s="764"/>
    </row>
    <row r="29" spans="1:9" s="773" customFormat="1" ht="19.5" customHeight="1">
      <c r="A29" s="3628"/>
      <c r="B29" s="3628"/>
      <c r="C29" s="769" t="s">
        <v>537</v>
      </c>
      <c r="D29" s="770"/>
      <c r="E29" s="768">
        <v>0.9</v>
      </c>
      <c r="F29" s="771" t="s">
        <v>538</v>
      </c>
      <c r="G29" s="772"/>
      <c r="H29" s="764"/>
      <c r="I29" s="764"/>
    </row>
    <row r="30" spans="1:9" s="773" customFormat="1" ht="19.5" customHeight="1">
      <c r="A30" s="3628"/>
      <c r="B30" s="3628"/>
      <c r="C30" s="769" t="s">
        <v>539</v>
      </c>
      <c r="D30" s="770"/>
      <c r="E30" s="768">
        <v>0.9</v>
      </c>
      <c r="F30" s="771" t="s">
        <v>540</v>
      </c>
      <c r="G30" s="772"/>
      <c r="H30" s="764"/>
      <c r="I30" s="764"/>
    </row>
    <row r="31" spans="1:9" s="773" customFormat="1" ht="19.5" customHeight="1">
      <c r="A31" s="3628"/>
      <c r="B31" s="3628"/>
      <c r="C31" s="769" t="s">
        <v>541</v>
      </c>
      <c r="D31" s="770"/>
      <c r="E31" s="768">
        <v>0.8</v>
      </c>
      <c r="F31" s="771" t="s">
        <v>542</v>
      </c>
      <c r="G31" s="772"/>
      <c r="H31" s="764"/>
      <c r="I31" s="764"/>
    </row>
    <row r="32" spans="1:9" s="773" customFormat="1" ht="19.5" customHeight="1">
      <c r="A32" s="3628"/>
      <c r="B32" s="3628"/>
      <c r="C32" s="769" t="s">
        <v>543</v>
      </c>
      <c r="D32" s="770"/>
      <c r="E32" s="768">
        <v>0.8</v>
      </c>
      <c r="F32" s="771" t="s">
        <v>544</v>
      </c>
      <c r="G32" s="772"/>
      <c r="H32" s="764"/>
      <c r="I32" s="764"/>
    </row>
    <row r="33" spans="1:9" s="773" customFormat="1" ht="19.5" customHeight="1">
      <c r="A33" s="3628" t="s">
        <v>134</v>
      </c>
      <c r="B33" s="768" t="s">
        <v>517</v>
      </c>
      <c r="C33" s="769" t="s">
        <v>545</v>
      </c>
      <c r="D33" s="770"/>
      <c r="E33" s="768">
        <v>1</v>
      </c>
      <c r="F33" s="771" t="s">
        <v>546</v>
      </c>
      <c r="G33" s="772"/>
      <c r="H33" s="764"/>
      <c r="I33" s="764"/>
    </row>
    <row r="34" spans="1:9" s="773" customFormat="1" ht="19.5" customHeight="1">
      <c r="A34" s="3628"/>
      <c r="B34" s="768" t="s">
        <v>520</v>
      </c>
      <c r="C34" s="769" t="s">
        <v>547</v>
      </c>
      <c r="D34" s="770"/>
      <c r="E34" s="768">
        <v>1.5</v>
      </c>
      <c r="F34" s="771" t="s">
        <v>548</v>
      </c>
      <c r="G34" s="772"/>
      <c r="H34" s="764"/>
      <c r="I34" s="764"/>
    </row>
    <row r="35" spans="1:9" s="773" customFormat="1" ht="19.5" customHeight="1">
      <c r="A35" s="3628" t="s">
        <v>135</v>
      </c>
      <c r="B35" s="768" t="s">
        <v>517</v>
      </c>
      <c r="C35" s="769" t="s">
        <v>549</v>
      </c>
      <c r="D35" s="770"/>
      <c r="E35" s="768">
        <v>1</v>
      </c>
      <c r="F35" s="771" t="s">
        <v>550</v>
      </c>
      <c r="G35" s="772"/>
      <c r="H35" s="764"/>
      <c r="I35" s="764"/>
    </row>
    <row r="36" spans="1:9" s="773" customFormat="1" ht="19.5" customHeight="1">
      <c r="A36" s="3628"/>
      <c r="B36" s="3628" t="s">
        <v>520</v>
      </c>
      <c r="C36" s="769" t="s">
        <v>551</v>
      </c>
      <c r="D36" s="770"/>
      <c r="E36" s="768">
        <v>1</v>
      </c>
      <c r="F36" s="771" t="s">
        <v>552</v>
      </c>
      <c r="G36" s="772"/>
      <c r="H36" s="764"/>
      <c r="I36" s="764"/>
    </row>
    <row r="37" spans="1:9" s="773" customFormat="1" ht="19.5" customHeight="1">
      <c r="A37" s="3628"/>
      <c r="B37" s="3628"/>
      <c r="C37" s="769" t="s">
        <v>553</v>
      </c>
      <c r="D37" s="770"/>
      <c r="E37" s="768">
        <v>1.5</v>
      </c>
      <c r="F37" s="771" t="s">
        <v>554</v>
      </c>
      <c r="G37" s="772"/>
      <c r="H37" s="764"/>
      <c r="I37" s="764"/>
    </row>
    <row r="38" spans="1:9" s="773" customFormat="1" ht="19.5" customHeight="1">
      <c r="A38" s="3628"/>
      <c r="B38" s="3628"/>
      <c r="C38" s="769" t="s">
        <v>555</v>
      </c>
      <c r="D38" s="770"/>
      <c r="E38" s="768">
        <v>1</v>
      </c>
      <c r="F38" s="771" t="s">
        <v>556</v>
      </c>
      <c r="G38" s="772"/>
      <c r="H38" s="764"/>
      <c r="I38" s="764"/>
    </row>
    <row r="39" spans="1:9" s="773" customFormat="1" ht="19.5" customHeight="1">
      <c r="A39" s="3628"/>
      <c r="B39" s="362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8" t="s">
        <v>571</v>
      </c>
      <c r="C61" s="682" t="s">
        <v>572</v>
      </c>
      <c r="D61" s="682" t="s">
        <v>573</v>
      </c>
      <c r="E61" s="781">
        <v>0.5</v>
      </c>
      <c r="F61" s="768">
        <v>80</v>
      </c>
    </row>
    <row r="62" spans="1:8" s="764" customFormat="1" ht="24">
      <c r="A62" s="768">
        <v>2</v>
      </c>
      <c r="B62" s="3628"/>
      <c r="C62" s="682" t="s">
        <v>574</v>
      </c>
      <c r="D62" s="682" t="s">
        <v>575</v>
      </c>
      <c r="E62" s="781">
        <v>0.5</v>
      </c>
      <c r="F62" s="768">
        <v>80</v>
      </c>
    </row>
    <row r="63" spans="1:8" s="764" customFormat="1" ht="36">
      <c r="A63" s="768">
        <v>3</v>
      </c>
      <c r="B63" s="3628"/>
      <c r="C63" s="682" t="s">
        <v>576</v>
      </c>
      <c r="D63" s="682" t="s">
        <v>577</v>
      </c>
      <c r="E63" s="781">
        <v>0.5</v>
      </c>
      <c r="F63" s="768">
        <v>80</v>
      </c>
    </row>
    <row r="64" spans="1:8" s="764" customFormat="1" ht="36">
      <c r="A64" s="768">
        <v>4</v>
      </c>
      <c r="B64" s="3628"/>
      <c r="C64" s="682" t="s">
        <v>578</v>
      </c>
      <c r="D64" s="682" t="s">
        <v>579</v>
      </c>
      <c r="E64" s="781">
        <v>0.4</v>
      </c>
      <c r="F64" s="768">
        <v>60</v>
      </c>
    </row>
    <row r="65" spans="1:6" s="764" customFormat="1" ht="36">
      <c r="A65" s="768">
        <v>5</v>
      </c>
      <c r="B65" s="3628"/>
      <c r="C65" s="682" t="s">
        <v>580</v>
      </c>
      <c r="D65" s="682" t="s">
        <v>581</v>
      </c>
      <c r="E65" s="781">
        <v>0.2</v>
      </c>
      <c r="F65" s="768">
        <v>30</v>
      </c>
    </row>
    <row r="66" spans="1:6" s="764" customFormat="1" ht="36">
      <c r="A66" s="768">
        <v>6</v>
      </c>
      <c r="B66" s="3628"/>
      <c r="C66" s="682" t="s">
        <v>582</v>
      </c>
      <c r="D66" s="682" t="s">
        <v>583</v>
      </c>
      <c r="E66" s="781">
        <v>0.3</v>
      </c>
      <c r="F66" s="768">
        <v>50</v>
      </c>
    </row>
    <row r="67" spans="1:6" s="764" customFormat="1" ht="36">
      <c r="A67" s="768">
        <v>7</v>
      </c>
      <c r="B67" s="3628"/>
      <c r="C67" s="682" t="s">
        <v>584</v>
      </c>
      <c r="D67" s="682" t="s">
        <v>585</v>
      </c>
      <c r="E67" s="781">
        <v>0.2</v>
      </c>
      <c r="F67" s="768">
        <v>30</v>
      </c>
    </row>
    <row r="68" spans="1:6" s="764" customFormat="1" ht="36">
      <c r="A68" s="768">
        <v>8</v>
      </c>
      <c r="B68" s="3628"/>
      <c r="C68" s="682" t="s">
        <v>586</v>
      </c>
      <c r="D68" s="682" t="s">
        <v>587</v>
      </c>
      <c r="E68" s="781">
        <v>0.2</v>
      </c>
      <c r="F68" s="768">
        <v>30</v>
      </c>
    </row>
    <row r="69" spans="1:6" s="764" customFormat="1" ht="36">
      <c r="A69" s="768">
        <v>9</v>
      </c>
      <c r="B69" s="3628"/>
      <c r="C69" s="682" t="s">
        <v>588</v>
      </c>
      <c r="D69" s="682" t="s">
        <v>589</v>
      </c>
      <c r="E69" s="781">
        <v>0.2</v>
      </c>
      <c r="F69" s="768">
        <v>30</v>
      </c>
    </row>
    <row r="70" spans="1:6" s="764" customFormat="1" ht="48">
      <c r="A70" s="768">
        <v>10</v>
      </c>
      <c r="B70" s="3628"/>
      <c r="C70" s="682" t="s">
        <v>590</v>
      </c>
      <c r="D70" s="682" t="s">
        <v>591</v>
      </c>
      <c r="E70" s="781">
        <v>0.2</v>
      </c>
      <c r="F70" s="768">
        <v>30</v>
      </c>
    </row>
    <row r="71" spans="1:6" s="764" customFormat="1" ht="48">
      <c r="A71" s="768">
        <v>11</v>
      </c>
      <c r="B71" s="3628"/>
      <c r="C71" s="682" t="s">
        <v>592</v>
      </c>
      <c r="D71" s="682" t="s">
        <v>593</v>
      </c>
      <c r="E71" s="781">
        <v>0.2</v>
      </c>
      <c r="F71" s="768">
        <v>30</v>
      </c>
    </row>
    <row r="72" spans="1:6" s="764" customFormat="1" ht="36">
      <c r="A72" s="768">
        <v>12</v>
      </c>
      <c r="B72" s="3628"/>
      <c r="C72" s="682" t="s">
        <v>594</v>
      </c>
      <c r="D72" s="682" t="s">
        <v>595</v>
      </c>
      <c r="E72" s="781">
        <v>0.5</v>
      </c>
      <c r="F72" s="768">
        <v>80</v>
      </c>
    </row>
    <row r="73" spans="1:6" s="764" customFormat="1" ht="24">
      <c r="A73" s="768">
        <v>13</v>
      </c>
      <c r="B73" s="3628"/>
      <c r="C73" s="682" t="s">
        <v>596</v>
      </c>
      <c r="D73" s="682" t="s">
        <v>597</v>
      </c>
      <c r="E73" s="781">
        <v>0.4</v>
      </c>
      <c r="F73" s="768">
        <v>60</v>
      </c>
    </row>
    <row r="74" spans="1:6" s="764" customFormat="1" ht="24">
      <c r="A74" s="768">
        <v>14</v>
      </c>
      <c r="B74" s="3628"/>
      <c r="C74" s="682" t="s">
        <v>598</v>
      </c>
      <c r="D74" s="682" t="s">
        <v>599</v>
      </c>
      <c r="E74" s="781">
        <v>0.2</v>
      </c>
      <c r="F74" s="768">
        <v>30</v>
      </c>
    </row>
    <row r="75" spans="1:6" s="764" customFormat="1" ht="24">
      <c r="A75" s="768">
        <v>15</v>
      </c>
      <c r="B75" s="3628"/>
      <c r="C75" s="682" t="s">
        <v>600</v>
      </c>
      <c r="D75" s="682" t="s">
        <v>601</v>
      </c>
      <c r="E75" s="781">
        <v>0.2</v>
      </c>
      <c r="F75" s="768">
        <v>30</v>
      </c>
    </row>
    <row r="76" spans="1:6" s="764" customFormat="1" ht="24">
      <c r="A76" s="768">
        <v>16</v>
      </c>
      <c r="B76" s="3628" t="s">
        <v>602</v>
      </c>
      <c r="C76" s="682" t="s">
        <v>603</v>
      </c>
      <c r="D76" s="682" t="s">
        <v>604</v>
      </c>
      <c r="E76" s="781">
        <v>0.5</v>
      </c>
      <c r="F76" s="768">
        <v>80</v>
      </c>
    </row>
    <row r="77" spans="1:6" s="764" customFormat="1" ht="24">
      <c r="A77" s="768">
        <v>17</v>
      </c>
      <c r="B77" s="3628"/>
      <c r="C77" s="682" t="s">
        <v>605</v>
      </c>
      <c r="D77" s="682" t="s">
        <v>606</v>
      </c>
      <c r="E77" s="781">
        <v>0.5</v>
      </c>
      <c r="F77" s="768">
        <v>80</v>
      </c>
    </row>
    <row r="78" spans="1:6" s="764" customFormat="1" ht="24">
      <c r="A78" s="768">
        <v>18</v>
      </c>
      <c r="B78" s="3628"/>
      <c r="C78" s="682" t="s">
        <v>607</v>
      </c>
      <c r="D78" s="682" t="s">
        <v>608</v>
      </c>
      <c r="E78" s="781">
        <v>0.2</v>
      </c>
      <c r="F78" s="768">
        <v>30</v>
      </c>
    </row>
    <row r="79" spans="1:6" s="764" customFormat="1" ht="24">
      <c r="A79" s="768">
        <v>19</v>
      </c>
      <c r="B79" s="3628"/>
      <c r="C79" s="682" t="s">
        <v>609</v>
      </c>
      <c r="D79" s="682" t="s">
        <v>610</v>
      </c>
      <c r="E79" s="781">
        <v>0.5</v>
      </c>
      <c r="F79" s="768">
        <v>80</v>
      </c>
    </row>
    <row r="80" spans="1:6" s="764" customFormat="1" ht="36">
      <c r="A80" s="768">
        <v>20</v>
      </c>
      <c r="B80" s="3628"/>
      <c r="C80" s="682" t="s">
        <v>611</v>
      </c>
      <c r="D80" s="682" t="s">
        <v>612</v>
      </c>
      <c r="E80" s="781">
        <v>0.2</v>
      </c>
      <c r="F80" s="768">
        <v>30</v>
      </c>
    </row>
    <row r="81" spans="1:6" s="764" customFormat="1" ht="36">
      <c r="A81" s="768">
        <v>21</v>
      </c>
      <c r="B81" s="3628"/>
      <c r="C81" s="682" t="s">
        <v>613</v>
      </c>
      <c r="D81" s="682" t="s">
        <v>614</v>
      </c>
      <c r="E81" s="781">
        <v>0.2</v>
      </c>
      <c r="F81" s="768">
        <v>30</v>
      </c>
    </row>
    <row r="82" spans="1:6" s="764" customFormat="1" ht="48">
      <c r="A82" s="768">
        <v>22</v>
      </c>
      <c r="B82" s="3628"/>
      <c r="C82" s="682" t="s">
        <v>615</v>
      </c>
      <c r="D82" s="682" t="s">
        <v>616</v>
      </c>
      <c r="E82" s="781">
        <v>0.2</v>
      </c>
      <c r="F82" s="768">
        <v>30</v>
      </c>
    </row>
    <row r="83" spans="1:6" s="764" customFormat="1" ht="48">
      <c r="A83" s="768">
        <v>23</v>
      </c>
      <c r="B83" s="3628"/>
      <c r="C83" s="682" t="s">
        <v>617</v>
      </c>
      <c r="D83" s="682" t="s">
        <v>618</v>
      </c>
      <c r="E83" s="781">
        <v>0.2</v>
      </c>
      <c r="F83" s="768">
        <v>30</v>
      </c>
    </row>
    <row r="84" spans="1:6" s="764" customFormat="1" ht="36">
      <c r="A84" s="768">
        <v>24</v>
      </c>
      <c r="B84" s="3628"/>
      <c r="C84" s="682" t="s">
        <v>619</v>
      </c>
      <c r="D84" s="682" t="s">
        <v>620</v>
      </c>
      <c r="E84" s="781">
        <v>0.2</v>
      </c>
      <c r="F84" s="768">
        <v>30</v>
      </c>
    </row>
    <row r="85" spans="1:6" s="764" customFormat="1" ht="36">
      <c r="A85" s="768">
        <v>25</v>
      </c>
      <c r="B85" s="3628"/>
      <c r="C85" s="682" t="s">
        <v>621</v>
      </c>
      <c r="D85" s="682" t="s">
        <v>622</v>
      </c>
      <c r="E85" s="781">
        <v>0.5</v>
      </c>
      <c r="F85" s="768">
        <v>80</v>
      </c>
    </row>
    <row r="86" spans="1:6" s="764" customFormat="1" ht="36">
      <c r="A86" s="768">
        <v>26</v>
      </c>
      <c r="B86" s="3628"/>
      <c r="C86" s="682" t="s">
        <v>623</v>
      </c>
      <c r="D86" s="682" t="s">
        <v>624</v>
      </c>
      <c r="E86" s="781">
        <v>0.2</v>
      </c>
      <c r="F86" s="768">
        <v>30</v>
      </c>
    </row>
    <row r="87" spans="1:6" s="764" customFormat="1" ht="36">
      <c r="A87" s="768">
        <v>27</v>
      </c>
      <c r="B87" s="3628"/>
      <c r="C87" s="682" t="s">
        <v>625</v>
      </c>
      <c r="D87" s="682" t="s">
        <v>626</v>
      </c>
      <c r="E87" s="781">
        <v>0.2</v>
      </c>
      <c r="F87" s="768">
        <v>30</v>
      </c>
    </row>
    <row r="88" spans="1:6" s="764" customFormat="1" ht="36">
      <c r="A88" s="768">
        <v>28</v>
      </c>
      <c r="B88" s="3628"/>
      <c r="C88" s="682" t="s">
        <v>627</v>
      </c>
      <c r="D88" s="682" t="s">
        <v>628</v>
      </c>
      <c r="E88" s="781">
        <v>0.2</v>
      </c>
      <c r="F88" s="768">
        <v>30</v>
      </c>
    </row>
    <row r="89" spans="1:6" s="764" customFormat="1" ht="24">
      <c r="A89" s="768">
        <v>29</v>
      </c>
      <c r="B89" s="3628"/>
      <c r="C89" s="682" t="s">
        <v>629</v>
      </c>
      <c r="D89" s="682" t="s">
        <v>630</v>
      </c>
      <c r="E89" s="781">
        <v>0.2</v>
      </c>
      <c r="F89" s="768">
        <v>30</v>
      </c>
    </row>
    <row r="90" spans="1:6" s="764" customFormat="1" ht="24">
      <c r="A90" s="768">
        <v>30</v>
      </c>
      <c r="B90" s="3628"/>
      <c r="C90" s="682" t="s">
        <v>631</v>
      </c>
      <c r="D90" s="682" t="s">
        <v>632</v>
      </c>
      <c r="E90" s="781">
        <v>0.2</v>
      </c>
      <c r="F90" s="768">
        <v>30</v>
      </c>
    </row>
    <row r="91" spans="1:6" s="764" customFormat="1" ht="36">
      <c r="A91" s="768">
        <v>31</v>
      </c>
      <c r="B91" s="3628"/>
      <c r="C91" s="682" t="s">
        <v>633</v>
      </c>
      <c r="D91" s="682" t="s">
        <v>634</v>
      </c>
      <c r="E91" s="781">
        <v>0.2</v>
      </c>
      <c r="F91" s="768">
        <v>30</v>
      </c>
    </row>
    <row r="92" spans="1:6" s="764" customFormat="1" ht="24">
      <c r="A92" s="768">
        <v>32</v>
      </c>
      <c r="B92" s="3628" t="s">
        <v>635</v>
      </c>
      <c r="C92" s="768" t="s">
        <v>636</v>
      </c>
      <c r="D92" s="682" t="s">
        <v>637</v>
      </c>
      <c r="E92" s="781">
        <v>0.2</v>
      </c>
      <c r="F92" s="768">
        <v>30</v>
      </c>
    </row>
    <row r="93" spans="1:6" s="764" customFormat="1" ht="36">
      <c r="A93" s="768">
        <v>33</v>
      </c>
      <c r="B93" s="3628"/>
      <c r="C93" s="768" t="s">
        <v>638</v>
      </c>
      <c r="D93" s="682" t="s">
        <v>639</v>
      </c>
      <c r="E93" s="781">
        <v>0.2</v>
      </c>
      <c r="F93" s="768">
        <v>30</v>
      </c>
    </row>
    <row r="94" spans="1:6" s="764" customFormat="1" ht="48">
      <c r="A94" s="768">
        <v>34</v>
      </c>
      <c r="B94" s="3628"/>
      <c r="C94" s="768" t="s">
        <v>640</v>
      </c>
      <c r="D94" s="682" t="s">
        <v>641</v>
      </c>
      <c r="E94" s="781">
        <v>0.2</v>
      </c>
      <c r="F94" s="768">
        <v>30</v>
      </c>
    </row>
    <row r="95" spans="1:6" s="764" customFormat="1" ht="36">
      <c r="A95" s="768">
        <v>35</v>
      </c>
      <c r="B95" s="3628"/>
      <c r="C95" s="768" t="s">
        <v>642</v>
      </c>
      <c r="D95" s="682" t="s">
        <v>643</v>
      </c>
      <c r="E95" s="781">
        <v>0.2</v>
      </c>
      <c r="F95" s="768">
        <v>30</v>
      </c>
    </row>
    <row r="96" spans="1:6" s="764" customFormat="1" ht="48">
      <c r="A96" s="768">
        <v>36</v>
      </c>
      <c r="B96" s="3628"/>
      <c r="C96" s="682" t="s">
        <v>644</v>
      </c>
      <c r="D96" s="682" t="s">
        <v>645</v>
      </c>
      <c r="E96" s="781">
        <v>0.2</v>
      </c>
      <c r="F96" s="768">
        <v>30</v>
      </c>
    </row>
    <row r="97" spans="1:6" s="764" customFormat="1" ht="36">
      <c r="A97" s="768">
        <v>37</v>
      </c>
      <c r="B97" s="3628"/>
      <c r="C97" s="768" t="s">
        <v>646</v>
      </c>
      <c r="D97" s="682" t="s">
        <v>647</v>
      </c>
      <c r="E97" s="781">
        <v>0.2</v>
      </c>
      <c r="F97" s="768">
        <v>30</v>
      </c>
    </row>
    <row r="98" spans="1:6" s="764" customFormat="1" ht="36">
      <c r="A98" s="768">
        <v>38</v>
      </c>
      <c r="B98" s="3628"/>
      <c r="C98" s="768" t="s">
        <v>648</v>
      </c>
      <c r="D98" s="682" t="s">
        <v>649</v>
      </c>
      <c r="E98" s="781">
        <v>0.2</v>
      </c>
      <c r="F98" s="768">
        <v>30</v>
      </c>
    </row>
    <row r="99" spans="1:6" s="764" customFormat="1" ht="36">
      <c r="A99" s="768">
        <v>39</v>
      </c>
      <c r="B99" s="3628" t="s">
        <v>650</v>
      </c>
      <c r="C99" s="768" t="s">
        <v>651</v>
      </c>
      <c r="D99" s="682" t="s">
        <v>652</v>
      </c>
      <c r="E99" s="781">
        <v>0.3</v>
      </c>
      <c r="F99" s="768">
        <v>50</v>
      </c>
    </row>
    <row r="100" spans="1:6" s="764" customFormat="1" ht="24">
      <c r="A100" s="768">
        <v>40</v>
      </c>
      <c r="B100" s="3628"/>
      <c r="C100" s="768" t="s">
        <v>653</v>
      </c>
      <c r="D100" s="682" t="s">
        <v>654</v>
      </c>
      <c r="E100" s="781">
        <v>0.2</v>
      </c>
      <c r="F100" s="768">
        <v>30</v>
      </c>
    </row>
    <row r="101" spans="1:6" s="764" customFormat="1" ht="36">
      <c r="A101" s="768">
        <v>41</v>
      </c>
      <c r="B101" s="362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8" t="s">
        <v>665</v>
      </c>
      <c r="C105" s="768" t="s">
        <v>666</v>
      </c>
      <c r="D105" s="682" t="s">
        <v>667</v>
      </c>
      <c r="E105" s="781">
        <v>0.2</v>
      </c>
      <c r="F105" s="768">
        <v>30</v>
      </c>
    </row>
    <row r="106" spans="1:6" s="764" customFormat="1" ht="36">
      <c r="A106" s="768">
        <v>46</v>
      </c>
      <c r="B106" s="3628"/>
      <c r="C106" s="768" t="s">
        <v>668</v>
      </c>
      <c r="D106" s="682" t="s">
        <v>669</v>
      </c>
      <c r="E106" s="781">
        <v>0.2</v>
      </c>
      <c r="F106" s="768">
        <v>30</v>
      </c>
    </row>
    <row r="107" spans="1:6" s="764" customFormat="1" ht="36">
      <c r="A107" s="768">
        <v>47</v>
      </c>
      <c r="B107" s="3628" t="s">
        <v>670</v>
      </c>
      <c r="C107" s="768" t="s">
        <v>671</v>
      </c>
      <c r="D107" s="682" t="s">
        <v>672</v>
      </c>
      <c r="E107" s="781">
        <v>0.3</v>
      </c>
      <c r="F107" s="768">
        <v>50</v>
      </c>
    </row>
    <row r="108" spans="1:6" s="764" customFormat="1" ht="36">
      <c r="A108" s="768">
        <v>48</v>
      </c>
      <c r="B108" s="362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8" t="s">
        <v>681</v>
      </c>
      <c r="C111" s="768" t="s">
        <v>682</v>
      </c>
      <c r="D111" s="682" t="s">
        <v>683</v>
      </c>
      <c r="E111" s="781">
        <v>0.2</v>
      </c>
      <c r="F111" s="768">
        <v>30</v>
      </c>
    </row>
    <row r="112" spans="1:6" s="764" customFormat="1" ht="24">
      <c r="A112" s="768">
        <v>52</v>
      </c>
      <c r="B112" s="3628"/>
      <c r="C112" s="768" t="s">
        <v>684</v>
      </c>
      <c r="D112" s="682" t="s">
        <v>685</v>
      </c>
      <c r="E112" s="781">
        <v>0.2</v>
      </c>
      <c r="F112" s="768">
        <v>30</v>
      </c>
    </row>
    <row r="113" spans="1:6" s="764" customFormat="1" ht="24">
      <c r="A113" s="768">
        <v>53</v>
      </c>
      <c r="B113" s="362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8" t="s">
        <v>694</v>
      </c>
      <c r="C116" s="768" t="s">
        <v>695</v>
      </c>
      <c r="D116" s="682" t="s">
        <v>696</v>
      </c>
      <c r="E116" s="781">
        <v>0.2</v>
      </c>
      <c r="F116" s="768">
        <v>30</v>
      </c>
    </row>
    <row r="117" spans="1:6" ht="36">
      <c r="A117" s="768">
        <v>57</v>
      </c>
      <c r="B117" s="362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topLeftCell="A184" workbookViewId="0">
      <selection activeCell="G1" sqref="G1:G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1.1076999999999999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4" t="s">
        <v>1020</v>
      </c>
      <c r="C1" s="3634"/>
      <c r="D1" s="3634"/>
      <c r="E1" s="3634"/>
      <c r="F1" s="3634"/>
      <c r="G1" s="3630" t="s">
        <v>1021</v>
      </c>
      <c r="H1" s="3630"/>
      <c r="I1" s="3630"/>
      <c r="J1" s="3630"/>
      <c r="K1" s="3630"/>
      <c r="L1" s="3630"/>
      <c r="N1" s="3630" t="s">
        <v>1022</v>
      </c>
      <c r="O1" s="3630"/>
      <c r="P1" s="3630"/>
      <c r="Q1" s="3630"/>
      <c r="S1" s="3630" t="s">
        <v>1023</v>
      </c>
      <c r="T1" s="3630"/>
      <c r="U1" s="3630"/>
      <c r="V1" s="3630"/>
      <c r="X1" s="3629" t="s">
        <v>1024</v>
      </c>
      <c r="Y1" s="3630"/>
      <c r="Z1" s="3630"/>
      <c r="AA1" s="3630"/>
      <c r="AB1" s="3630"/>
      <c r="AD1" s="3629" t="s">
        <v>1025</v>
      </c>
      <c r="AE1" s="3630"/>
      <c r="AF1" s="3630"/>
      <c r="AG1" s="3630"/>
      <c r="AH1" s="3630"/>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32">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32"/>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32"/>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9"/>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5">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32"/>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32"/>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9"/>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5">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32"/>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32"/>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3"/>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31">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32"/>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32"/>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3"/>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31">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32"/>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32"/>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3"/>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6">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7"/>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7"/>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8"/>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31">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32"/>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32"/>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3"/>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31">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32">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32">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3">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31">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32">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32">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3">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31">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32">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32">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3">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31">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32">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32">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3">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31">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32">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32">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3">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31">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32">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32">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3">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31">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32">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32">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3">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31">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32">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32">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3">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31">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32">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32">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3">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31">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32">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32">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3">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41443</v>
      </c>
      <c r="D1" s="1293" t="s">
        <v>1173</v>
      </c>
      <c r="E1" s="1299">
        <f>'数据-取费表'!B24</f>
        <v>2</v>
      </c>
      <c r="F1" s="1293" t="s">
        <v>1174</v>
      </c>
      <c r="G1" s="1300">
        <f ca="1">INDIRECT("d"&amp;$K$1)/100</f>
        <v>6.1500000000000006E-2</v>
      </c>
      <c r="H1" s="1293" t="s">
        <v>1204</v>
      </c>
      <c r="I1" s="1300">
        <f ca="1">F4/100</f>
        <v>0.03</v>
      </c>
      <c r="J1" s="1294">
        <f>IF(C1&gt;C13,0,MATCH(C1,C$13:C$100,-1))+IF(SUMIF(C13:C100,C1,D13:D100)=0,13,12)</f>
        <v>19</v>
      </c>
      <c r="K1" s="1294">
        <f>MATCH(E1,C3:C7,1)+IF(SUMIF(C3:C7,E1,D3:D7)=0,2,1)</f>
        <v>5</v>
      </c>
      <c r="L1" s="1294">
        <f>IF(C1&gt;M13,0,MATCH(C1,M$13:M$100,-1))+IF(SUMIF(M13:M100,C1,N13:N100)=0,13,12)</f>
        <v>19</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5.6</v>
      </c>
      <c r="E3" s="1241">
        <v>0.5</v>
      </c>
      <c r="F3" s="1242">
        <f ca="1">INDIRECT("p"&amp;$L$1)</f>
        <v>2.8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6</v>
      </c>
      <c r="E4" s="1247">
        <v>1</v>
      </c>
      <c r="F4" s="1248">
        <f ca="1">INDIRECT("q"&amp;$L$1)</f>
        <v>3</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6.15</v>
      </c>
      <c r="E5" s="1247">
        <v>2</v>
      </c>
      <c r="F5" s="1248">
        <f ca="1">INDIRECT("r"&amp;$L$1)</f>
        <v>3.75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6.4</v>
      </c>
      <c r="E6" s="1247">
        <v>3</v>
      </c>
      <c r="F6" s="1248">
        <f ca="1">INDIRECT("s"&amp;$L$1)</f>
        <v>4.25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6.55</v>
      </c>
      <c r="E7" s="1252">
        <v>5</v>
      </c>
      <c r="F7" s="1253">
        <f ca="1">INDIRECT("t"&amp;$L$1)</f>
        <v>4.75</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2938</v>
      </c>
      <c r="B1" s="3170" t="s">
        <v>2896</v>
      </c>
      <c r="C1" s="3171" t="s">
        <v>2939</v>
      </c>
      <c r="D1" s="3171" t="s">
        <v>2940</v>
      </c>
      <c r="E1" s="3171" t="s">
        <v>2931</v>
      </c>
      <c r="F1" s="3171" t="s">
        <v>2746</v>
      </c>
      <c r="G1" s="3170" t="s">
        <v>2941</v>
      </c>
      <c r="H1" s="3171" t="s">
        <v>2897</v>
      </c>
      <c r="I1" s="3170" t="s">
        <v>2942</v>
      </c>
      <c r="J1" s="3172" t="s">
        <v>2899</v>
      </c>
      <c r="K1" s="3173" t="s">
        <v>2900</v>
      </c>
      <c r="L1" s="3174" t="s">
        <v>2943</v>
      </c>
      <c r="M1" s="3175" t="s">
        <v>2944</v>
      </c>
      <c r="N1" s="3176" t="s">
        <v>2945</v>
      </c>
      <c r="O1" s="3172" t="s">
        <v>2946</v>
      </c>
      <c r="P1" s="3173" t="s">
        <v>2947</v>
      </c>
      <c r="Q1" s="3174" t="s">
        <v>2943</v>
      </c>
      <c r="R1" s="3177" t="s">
        <v>2901</v>
      </c>
      <c r="S1" s="3177" t="s">
        <v>2948</v>
      </c>
      <c r="T1" s="3177" t="s">
        <v>2949</v>
      </c>
      <c r="U1" s="3170" t="s">
        <v>2950</v>
      </c>
      <c r="V1" s="3170" t="s">
        <v>2898</v>
      </c>
      <c r="W1" s="3174" t="s">
        <v>2951</v>
      </c>
      <c r="X1" s="3174" t="s">
        <v>2952</v>
      </c>
      <c r="Y1" s="3174" t="s">
        <v>2953</v>
      </c>
      <c r="Z1" s="3174" t="s">
        <v>2954</v>
      </c>
      <c r="AA1" s="3174" t="s">
        <v>2955</v>
      </c>
      <c r="AB1" s="3174" t="s">
        <v>2956</v>
      </c>
      <c r="AC1" s="3174" t="s">
        <v>2957</v>
      </c>
      <c r="AD1" s="3174" t="s">
        <v>2958</v>
      </c>
      <c r="AE1" s="3170" t="s">
        <v>2959</v>
      </c>
      <c r="AF1" s="3178" t="s">
        <v>2960</v>
      </c>
      <c r="AG1" s="3178" t="s">
        <v>2961</v>
      </c>
      <c r="AH1" s="3178" t="s">
        <v>2962</v>
      </c>
      <c r="AI1" s="3178" t="s">
        <v>2963</v>
      </c>
      <c r="AJ1" s="3178" t="s">
        <v>2940</v>
      </c>
      <c r="AK1" s="3170" t="s">
        <v>2964</v>
      </c>
      <c r="AL1" s="3179" t="s">
        <v>2965</v>
      </c>
      <c r="AM1" s="3180" t="s">
        <v>2966</v>
      </c>
      <c r="AN1" s="3173" t="s">
        <v>2967</v>
      </c>
      <c r="AO1" s="3173" t="s">
        <v>2968</v>
      </c>
      <c r="AP1" s="3173" t="s">
        <v>2969</v>
      </c>
      <c r="AQ1" s="3181" t="s">
        <v>2970</v>
      </c>
      <c r="AR1" s="3181" t="s">
        <v>2971</v>
      </c>
      <c r="AS1" s="3170" t="s">
        <v>2972</v>
      </c>
      <c r="AT1" s="3170" t="s">
        <v>2943</v>
      </c>
      <c r="AU1" s="3170" t="s">
        <v>2946</v>
      </c>
      <c r="AV1" s="3170" t="s">
        <v>2973</v>
      </c>
      <c r="AW1" s="3170" t="s">
        <v>2974</v>
      </c>
      <c r="AX1" s="3170" t="s">
        <v>2975</v>
      </c>
      <c r="AY1" s="3173" t="s">
        <v>2976</v>
      </c>
      <c r="AZ1" s="3173" t="s">
        <v>2977</v>
      </c>
      <c r="BA1" s="3170" t="s">
        <v>2978</v>
      </c>
      <c r="BB1" s="3170" t="s">
        <v>2979</v>
      </c>
      <c r="BC1" s="3171" t="s">
        <v>2980</v>
      </c>
      <c r="BD1" s="3182" t="s">
        <v>2981</v>
      </c>
      <c r="BE1" s="3182" t="s">
        <v>2982</v>
      </c>
      <c r="BF1" s="3182" t="s">
        <v>2983</v>
      </c>
      <c r="BG1" s="3182" t="s">
        <v>2984</v>
      </c>
      <c r="BH1" s="3182" t="s">
        <v>2985</v>
      </c>
      <c r="BI1" s="3182" t="s">
        <v>2986</v>
      </c>
      <c r="BJ1" s="3182" t="s">
        <v>2987</v>
      </c>
      <c r="BK1" s="3182" t="s">
        <v>2988</v>
      </c>
    </row>
    <row r="2" spans="1:111" s="3204" customFormat="1" ht="20.100000000000001" customHeight="1">
      <c r="A2" s="3193" t="s">
        <v>3090</v>
      </c>
      <c r="B2" s="3194" t="s">
        <v>3091</v>
      </c>
      <c r="C2" s="3195" t="s">
        <v>3092</v>
      </c>
      <c r="D2" s="3195"/>
      <c r="E2" s="3194" t="s">
        <v>2936</v>
      </c>
      <c r="F2" s="3194" t="s">
        <v>3093</v>
      </c>
      <c r="G2" s="3196" t="s">
        <v>3001</v>
      </c>
      <c r="H2" s="3194">
        <v>72.25</v>
      </c>
      <c r="I2" s="3194"/>
      <c r="J2" s="3197">
        <v>24386</v>
      </c>
      <c r="K2" s="3198">
        <v>1761889</v>
      </c>
      <c r="L2" s="3199">
        <v>1761889</v>
      </c>
      <c r="M2" s="3199" t="s">
        <v>2915</v>
      </c>
      <c r="N2" s="3197">
        <v>0</v>
      </c>
      <c r="O2" s="3197">
        <v>24386</v>
      </c>
      <c r="P2" s="3198">
        <v>1761889</v>
      </c>
      <c r="Q2" s="3199">
        <v>1761889</v>
      </c>
      <c r="R2" s="3200">
        <v>40640</v>
      </c>
      <c r="S2" s="3200">
        <v>40641</v>
      </c>
      <c r="T2" s="3200" t="s">
        <v>3094</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3072</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3095</v>
      </c>
      <c r="AX2" s="3194" t="s">
        <v>2995</v>
      </c>
      <c r="AY2" s="3199">
        <v>237855</v>
      </c>
      <c r="AZ2" s="3199">
        <v>123332</v>
      </c>
      <c r="BA2" s="3194" t="s">
        <v>2989</v>
      </c>
      <c r="BB2" s="3200"/>
      <c r="BC2" s="3195" t="s">
        <v>3096</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2990</v>
      </c>
      <c r="B3" s="3163" t="s">
        <v>2991</v>
      </c>
      <c r="C3" s="3210" t="s">
        <v>2992</v>
      </c>
      <c r="D3" s="3210"/>
      <c r="E3" s="3163" t="s">
        <v>2936</v>
      </c>
      <c r="F3" s="3163" t="s">
        <v>3112</v>
      </c>
      <c r="G3" s="3211" t="s">
        <v>3088</v>
      </c>
      <c r="H3" s="3163">
        <v>108.67</v>
      </c>
      <c r="I3" s="3163"/>
      <c r="J3" s="3212">
        <v>22390</v>
      </c>
      <c r="K3" s="3213">
        <v>2433121</v>
      </c>
      <c r="L3" s="3214">
        <v>2433121</v>
      </c>
      <c r="M3" s="3214" t="s">
        <v>2915</v>
      </c>
      <c r="N3" s="3212">
        <v>0</v>
      </c>
      <c r="O3" s="3212">
        <v>22390</v>
      </c>
      <c r="P3" s="3213">
        <v>2433121</v>
      </c>
      <c r="Q3" s="3214">
        <v>2433121</v>
      </c>
      <c r="R3" s="3215">
        <v>40631</v>
      </c>
      <c r="S3" s="3215">
        <v>40641</v>
      </c>
      <c r="T3" s="3215" t="s">
        <v>2937</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2993</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2994</v>
      </c>
      <c r="AX3" s="3163" t="s">
        <v>2995</v>
      </c>
      <c r="AY3" s="3214">
        <v>328471</v>
      </c>
      <c r="AZ3" s="3214">
        <v>170318</v>
      </c>
      <c r="BA3" s="3163" t="s">
        <v>2989</v>
      </c>
      <c r="BB3" s="3215"/>
      <c r="BC3" s="3210" t="s">
        <v>2996</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2997</v>
      </c>
      <c r="B4" s="3219" t="s">
        <v>2998</v>
      </c>
      <c r="C4" s="3226" t="s">
        <v>2999</v>
      </c>
      <c r="D4" s="3226"/>
      <c r="E4" s="3219" t="s">
        <v>2936</v>
      </c>
      <c r="F4" s="3219" t="s">
        <v>3000</v>
      </c>
      <c r="G4" s="3227" t="s">
        <v>3089</v>
      </c>
      <c r="H4" s="3219">
        <v>104.33</v>
      </c>
      <c r="I4" s="3219"/>
      <c r="J4" s="3228">
        <v>23377</v>
      </c>
      <c r="K4" s="3229">
        <v>2438922</v>
      </c>
      <c r="L4" s="3230">
        <v>2438922</v>
      </c>
      <c r="M4" s="3230" t="s">
        <v>2915</v>
      </c>
      <c r="N4" s="3228">
        <v>0</v>
      </c>
      <c r="O4" s="3228">
        <v>23377</v>
      </c>
      <c r="P4" s="3229">
        <v>2438922</v>
      </c>
      <c r="Q4" s="3230">
        <v>2438922</v>
      </c>
      <c r="R4" s="3231">
        <v>40639</v>
      </c>
      <c r="S4" s="3231">
        <v>40641</v>
      </c>
      <c r="T4" s="3231" t="s">
        <v>2937</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3002</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2994</v>
      </c>
      <c r="AX4" s="3219" t="s">
        <v>2995</v>
      </c>
      <c r="AY4" s="3230">
        <v>329254</v>
      </c>
      <c r="AZ4" s="3230">
        <v>170725</v>
      </c>
      <c r="BA4" s="3219" t="s">
        <v>2989</v>
      </c>
      <c r="BB4" s="3231"/>
      <c r="BC4" s="3226" t="s">
        <v>3003</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3004</v>
      </c>
      <c r="N7" s="3171" t="s">
        <v>3005</v>
      </c>
      <c r="O7" s="3640" t="s">
        <v>3006</v>
      </c>
      <c r="P7" s="3640"/>
      <c r="Q7" s="3640"/>
      <c r="R7" s="3171"/>
      <c r="S7" s="3171" t="s">
        <v>2746</v>
      </c>
      <c r="T7" s="3171"/>
      <c r="U7" s="3171"/>
      <c r="V7" s="3184"/>
      <c r="W7" s="3171"/>
      <c r="X7" s="3171"/>
      <c r="Y7" s="3171"/>
      <c r="Z7" s="3171"/>
      <c r="AA7" s="3171"/>
      <c r="AB7" s="3177"/>
      <c r="AC7" s="3177"/>
      <c r="AD7" s="3177"/>
      <c r="AE7" s="3177"/>
      <c r="AF7" s="3184" t="s">
        <v>3007</v>
      </c>
      <c r="AG7" s="3170" t="s">
        <v>3008</v>
      </c>
      <c r="AH7" s="3170"/>
      <c r="AI7" s="3170"/>
      <c r="AJ7" s="3170"/>
      <c r="AK7" s="3177"/>
      <c r="AL7" s="3177"/>
      <c r="AM7" s="3185"/>
      <c r="AN7" s="3186"/>
      <c r="AO7" s="3186"/>
      <c r="AP7" s="3187" t="s">
        <v>3009</v>
      </c>
      <c r="AQ7" s="3170"/>
      <c r="AR7" s="3170"/>
      <c r="AS7" s="3170"/>
      <c r="AT7" s="3641" t="s">
        <v>3010</v>
      </c>
      <c r="AU7" s="3642"/>
      <c r="AV7" s="3643"/>
      <c r="AW7" s="3170" t="s">
        <v>3011</v>
      </c>
      <c r="AX7" s="3170"/>
    </row>
    <row r="8" spans="1:111" s="3183" customFormat="1" ht="15.95" customHeight="1">
      <c r="A8" s="3170" t="s">
        <v>3012</v>
      </c>
      <c r="B8" s="3171" t="s">
        <v>3013</v>
      </c>
      <c r="C8" s="3171" t="s">
        <v>3014</v>
      </c>
      <c r="D8" s="3170" t="s">
        <v>3015</v>
      </c>
      <c r="E8" s="3170" t="s">
        <v>3016</v>
      </c>
      <c r="F8" s="3170" t="s">
        <v>3017</v>
      </c>
      <c r="G8" s="3170" t="s">
        <v>3018</v>
      </c>
      <c r="H8" s="3170" t="s">
        <v>3019</v>
      </c>
      <c r="I8" s="3170" t="s">
        <v>3020</v>
      </c>
      <c r="J8" s="3170" t="s">
        <v>3021</v>
      </c>
      <c r="K8" s="3170" t="s">
        <v>3022</v>
      </c>
      <c r="L8" s="3170" t="s">
        <v>3023</v>
      </c>
      <c r="M8" s="3170" t="s">
        <v>3024</v>
      </c>
      <c r="N8" s="3170" t="s">
        <v>3024</v>
      </c>
      <c r="O8" s="3175" t="s">
        <v>3025</v>
      </c>
      <c r="P8" s="3175" t="s">
        <v>3026</v>
      </c>
      <c r="Q8" s="3189" t="s">
        <v>3027</v>
      </c>
      <c r="R8" s="3170" t="s">
        <v>3028</v>
      </c>
      <c r="S8" s="3170" t="s">
        <v>3029</v>
      </c>
      <c r="T8" s="3170" t="s">
        <v>3030</v>
      </c>
      <c r="U8" s="3170" t="s">
        <v>3031</v>
      </c>
      <c r="V8" s="3175" t="s">
        <v>3032</v>
      </c>
      <c r="W8" s="3170" t="s">
        <v>3033</v>
      </c>
      <c r="X8" s="3170" t="s">
        <v>3034</v>
      </c>
      <c r="Y8" s="3170" t="s">
        <v>3035</v>
      </c>
      <c r="Z8" s="3170" t="s">
        <v>3036</v>
      </c>
      <c r="AA8" s="3170" t="s">
        <v>3037</v>
      </c>
      <c r="AB8" s="3177" t="s">
        <v>3038</v>
      </c>
      <c r="AC8" s="3177" t="s">
        <v>3039</v>
      </c>
      <c r="AD8" s="3177" t="s">
        <v>3040</v>
      </c>
      <c r="AE8" s="3190" t="s">
        <v>3041</v>
      </c>
      <c r="AF8" s="3175" t="s">
        <v>3042</v>
      </c>
      <c r="AG8" s="3170" t="s">
        <v>3043</v>
      </c>
      <c r="AH8" s="3170" t="s">
        <v>3044</v>
      </c>
      <c r="AI8" s="3170" t="s">
        <v>3045</v>
      </c>
      <c r="AJ8" s="3170" t="s">
        <v>3046</v>
      </c>
      <c r="AK8" s="3177" t="s">
        <v>3047</v>
      </c>
      <c r="AL8" s="3177" t="s">
        <v>3048</v>
      </c>
      <c r="AM8" s="3191" t="s">
        <v>3049</v>
      </c>
      <c r="AN8" s="3192" t="s">
        <v>3050</v>
      </c>
      <c r="AO8" s="3192" t="s">
        <v>3051</v>
      </c>
      <c r="AP8" s="3170" t="s">
        <v>3052</v>
      </c>
      <c r="AQ8" s="3170" t="s">
        <v>3053</v>
      </c>
      <c r="AR8" s="3170" t="s">
        <v>3054</v>
      </c>
      <c r="AS8" s="3170" t="s">
        <v>3024</v>
      </c>
      <c r="AT8" s="3170" t="s">
        <v>3055</v>
      </c>
      <c r="AU8" s="3170" t="s">
        <v>3056</v>
      </c>
      <c r="AV8" s="3170" t="s">
        <v>3057</v>
      </c>
      <c r="AW8" s="3170" t="s">
        <v>3024</v>
      </c>
      <c r="AX8" s="3170" t="s">
        <v>3058</v>
      </c>
    </row>
    <row r="9" spans="1:111" s="3204" customFormat="1" ht="19.5" customHeight="1">
      <c r="A9" s="3194" t="s">
        <v>3090</v>
      </c>
      <c r="B9" s="3194" t="s">
        <v>3097</v>
      </c>
      <c r="C9" s="3194"/>
      <c r="D9" s="3205" t="s">
        <v>3091</v>
      </c>
      <c r="E9" s="3194"/>
      <c r="F9" s="3194" t="s">
        <v>3059</v>
      </c>
      <c r="G9" s="3194" t="s">
        <v>3083</v>
      </c>
      <c r="H9" s="3194" t="s">
        <v>3098</v>
      </c>
      <c r="I9" s="3194">
        <v>2006</v>
      </c>
      <c r="J9" s="3194" t="s">
        <v>3061</v>
      </c>
      <c r="K9" s="3194">
        <v>60</v>
      </c>
      <c r="L9" s="3194" t="s">
        <v>2891</v>
      </c>
      <c r="M9" s="3194">
        <v>2003</v>
      </c>
      <c r="N9" s="3194" t="s">
        <v>1240</v>
      </c>
      <c r="O9" s="3194">
        <v>8</v>
      </c>
      <c r="P9" s="3194">
        <v>52</v>
      </c>
      <c r="Q9" s="3206">
        <v>0.94499999999999995</v>
      </c>
      <c r="R9" s="3194" t="s">
        <v>3099</v>
      </c>
      <c r="S9" s="3194">
        <v>20</v>
      </c>
      <c r="T9" s="3194" t="s">
        <v>3062</v>
      </c>
      <c r="U9" s="3194" t="s">
        <v>3100</v>
      </c>
      <c r="V9" s="3194" t="s">
        <v>3064</v>
      </c>
      <c r="W9" s="3194" t="s">
        <v>3101</v>
      </c>
      <c r="X9" s="3194" t="s">
        <v>3065</v>
      </c>
      <c r="Y9" s="3194" t="s">
        <v>3102</v>
      </c>
      <c r="Z9" s="3194" t="s">
        <v>1240</v>
      </c>
      <c r="AA9" s="3194" t="s">
        <v>1240</v>
      </c>
      <c r="AB9" s="3207" t="s">
        <v>1240</v>
      </c>
      <c r="AC9" s="3207" t="s">
        <v>1240</v>
      </c>
      <c r="AD9" s="3207" t="s">
        <v>1240</v>
      </c>
      <c r="AE9" s="3194" t="s">
        <v>3067</v>
      </c>
      <c r="AF9" s="3194" t="s">
        <v>3103</v>
      </c>
      <c r="AG9" s="3194" t="s">
        <v>1240</v>
      </c>
      <c r="AH9" s="3194" t="s">
        <v>1240</v>
      </c>
      <c r="AI9" s="3194" t="s">
        <v>1240</v>
      </c>
      <c r="AJ9" s="3194" t="s">
        <v>1240</v>
      </c>
      <c r="AK9" s="3207">
        <v>37538</v>
      </c>
      <c r="AL9" s="3207">
        <v>63105</v>
      </c>
      <c r="AM9" s="3194">
        <v>61.5</v>
      </c>
      <c r="AN9" s="3194" t="s">
        <v>3069</v>
      </c>
      <c r="AO9" s="3194"/>
      <c r="AP9" s="3194" t="s">
        <v>2915</v>
      </c>
      <c r="AQ9" s="3194" t="s">
        <v>3070</v>
      </c>
      <c r="AR9" s="3194" t="s">
        <v>3104</v>
      </c>
      <c r="AS9" s="3194" t="s">
        <v>3105</v>
      </c>
      <c r="AT9" s="3194" t="s">
        <v>3072</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2990</v>
      </c>
      <c r="B10" s="3163" t="s">
        <v>3073</v>
      </c>
      <c r="C10" s="3163"/>
      <c r="D10" s="3164" t="s">
        <v>2991</v>
      </c>
      <c r="E10" s="3163"/>
      <c r="F10" s="3163" t="s">
        <v>3074</v>
      </c>
      <c r="G10" s="3163" t="s">
        <v>3075</v>
      </c>
      <c r="H10" s="3163" t="s">
        <v>3060</v>
      </c>
      <c r="I10" s="3163" t="s">
        <v>3076</v>
      </c>
      <c r="J10" s="3163" t="s">
        <v>3061</v>
      </c>
      <c r="K10" s="3163">
        <v>60</v>
      </c>
      <c r="L10" s="3163" t="s">
        <v>2891</v>
      </c>
      <c r="M10" s="3163">
        <v>2005</v>
      </c>
      <c r="N10" s="3163" t="s">
        <v>1240</v>
      </c>
      <c r="O10" s="3163">
        <v>6</v>
      </c>
      <c r="P10" s="3163">
        <v>54</v>
      </c>
      <c r="Q10" s="3165">
        <v>0.96499999999999997</v>
      </c>
      <c r="R10" s="3163" t="s">
        <v>3077</v>
      </c>
      <c r="S10" s="3163">
        <v>14</v>
      </c>
      <c r="T10" s="3163" t="s">
        <v>3062</v>
      </c>
      <c r="U10" s="3163" t="s">
        <v>3063</v>
      </c>
      <c r="V10" s="3163" t="s">
        <v>3064</v>
      </c>
      <c r="W10" s="3163" t="s">
        <v>3078</v>
      </c>
      <c r="X10" s="3163" t="s">
        <v>3065</v>
      </c>
      <c r="Y10" s="3163" t="s">
        <v>3066</v>
      </c>
      <c r="Z10" s="3163" t="s">
        <v>1240</v>
      </c>
      <c r="AA10" s="3163" t="s">
        <v>1240</v>
      </c>
      <c r="AB10" s="3166" t="s">
        <v>1240</v>
      </c>
      <c r="AC10" s="3166" t="s">
        <v>1240</v>
      </c>
      <c r="AD10" s="3166" t="s">
        <v>1240</v>
      </c>
      <c r="AE10" s="3163" t="s">
        <v>3067</v>
      </c>
      <c r="AF10" s="3163" t="s">
        <v>3068</v>
      </c>
      <c r="AG10" s="3163" t="s">
        <v>1240</v>
      </c>
      <c r="AH10" s="3163" t="s">
        <v>1240</v>
      </c>
      <c r="AI10" s="3163" t="s">
        <v>3079</v>
      </c>
      <c r="AJ10" s="3163" t="s">
        <v>1240</v>
      </c>
      <c r="AK10" s="3166" t="s">
        <v>1240</v>
      </c>
      <c r="AL10" s="3166" t="s">
        <v>1240</v>
      </c>
      <c r="AM10" s="3163" t="s">
        <v>1240</v>
      </c>
      <c r="AN10" s="3163" t="s">
        <v>3069</v>
      </c>
      <c r="AO10" s="3163"/>
      <c r="AP10" s="3163" t="s">
        <v>2915</v>
      </c>
      <c r="AQ10" s="3163" t="s">
        <v>3070</v>
      </c>
      <c r="AR10" s="3163" t="s">
        <v>3071</v>
      </c>
      <c r="AS10" s="3163" t="s">
        <v>3080</v>
      </c>
      <c r="AT10" s="3163" t="s">
        <v>3072</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2997</v>
      </c>
      <c r="B11" s="3219" t="s">
        <v>3081</v>
      </c>
      <c r="C11" s="3219"/>
      <c r="D11" s="3220" t="s">
        <v>3082</v>
      </c>
      <c r="E11" s="3219"/>
      <c r="F11" s="3219" t="s">
        <v>3059</v>
      </c>
      <c r="G11" s="3219" t="s">
        <v>3083</v>
      </c>
      <c r="H11" s="3219" t="s">
        <v>3084</v>
      </c>
      <c r="I11" s="3219" t="s">
        <v>3085</v>
      </c>
      <c r="J11" s="3219" t="s">
        <v>3061</v>
      </c>
      <c r="K11" s="3219">
        <v>60</v>
      </c>
      <c r="L11" s="3219" t="s">
        <v>2891</v>
      </c>
      <c r="M11" s="3219" t="s">
        <v>1240</v>
      </c>
      <c r="N11" s="3219">
        <v>2001</v>
      </c>
      <c r="O11" s="3219">
        <v>10</v>
      </c>
      <c r="P11" s="3219">
        <v>50</v>
      </c>
      <c r="Q11" s="3221">
        <v>0.92500000000000004</v>
      </c>
      <c r="R11" s="3219">
        <v>22</v>
      </c>
      <c r="S11" s="3219">
        <v>20</v>
      </c>
      <c r="T11" s="3219" t="s">
        <v>3062</v>
      </c>
      <c r="U11" s="3219" t="s">
        <v>3086</v>
      </c>
      <c r="V11" s="3219" t="s">
        <v>3064</v>
      </c>
      <c r="W11" s="3219" t="s">
        <v>3078</v>
      </c>
      <c r="X11" s="3219" t="s">
        <v>3065</v>
      </c>
      <c r="Y11" s="3219" t="s">
        <v>3066</v>
      </c>
      <c r="Z11" s="3219" t="s">
        <v>1240</v>
      </c>
      <c r="AA11" s="3219" t="s">
        <v>1240</v>
      </c>
      <c r="AB11" s="3222" t="s">
        <v>1240</v>
      </c>
      <c r="AC11" s="3222" t="s">
        <v>1240</v>
      </c>
      <c r="AD11" s="3222" t="s">
        <v>1240</v>
      </c>
      <c r="AE11" s="3219" t="s">
        <v>3067</v>
      </c>
      <c r="AF11" s="3219" t="s">
        <v>3068</v>
      </c>
      <c r="AG11" s="3219" t="s">
        <v>1240</v>
      </c>
      <c r="AH11" s="3219" t="s">
        <v>1240</v>
      </c>
      <c r="AI11" s="3219" t="s">
        <v>1240</v>
      </c>
      <c r="AJ11" s="3219" t="s">
        <v>1240</v>
      </c>
      <c r="AK11" s="3222" t="s">
        <v>1240</v>
      </c>
      <c r="AL11" s="3222" t="s">
        <v>1240</v>
      </c>
      <c r="AM11" s="3219" t="s">
        <v>1240</v>
      </c>
      <c r="AN11" s="3219" t="s">
        <v>3069</v>
      </c>
      <c r="AO11" s="3219"/>
      <c r="AP11" s="3219" t="s">
        <v>2915</v>
      </c>
      <c r="AQ11" s="3219" t="s">
        <v>3070</v>
      </c>
      <c r="AR11" s="3219" t="s">
        <v>3071</v>
      </c>
      <c r="AS11" s="3219" t="s">
        <v>3087</v>
      </c>
      <c r="AT11" s="3219" t="s">
        <v>3072</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59"/>
      <c r="C2" s="3259"/>
      <c r="D2" s="3259"/>
      <c r="E2" s="3259"/>
    </row>
    <row r="3" spans="1:5" ht="13.5" customHeight="1">
      <c r="A3" s="1362"/>
      <c r="B3" s="1362"/>
      <c r="C3" s="1362"/>
      <c r="D3" s="1362"/>
      <c r="E3" s="1362"/>
    </row>
    <row r="4" spans="1:5" ht="19.5" thickBot="1">
      <c r="A4" s="3260" t="str">
        <f>IF(项目基本情况!D5="房地产市场价值","估价结果一览表（市场价值不需本页表格)","估价结果一览表")</f>
        <v>估价结果一览表（市场价值不需本页表格)</v>
      </c>
      <c r="B4" s="3260"/>
      <c r="C4" s="3260"/>
      <c r="D4" s="3260"/>
      <c r="E4" s="3260"/>
    </row>
    <row r="5" spans="1:5" ht="14.25" customHeight="1" thickTop="1">
      <c r="A5" s="1359"/>
      <c r="B5" s="1363" t="s">
        <v>742</v>
      </c>
      <c r="C5" s="3261" t="s">
        <v>775</v>
      </c>
      <c r="D5" s="3262"/>
      <c r="E5" s="1359"/>
    </row>
    <row r="6" spans="1:5" ht="28.5">
      <c r="A6" s="1359"/>
      <c r="B6" s="1364" t="str">
        <f>项目基本情况!I1</f>
        <v>北京市昌平区回龙观镇龙跃苑东四区8号楼房地产</v>
      </c>
      <c r="C6" s="3263">
        <f>项目基本情况!C12</f>
        <v>126.61</v>
      </c>
      <c r="D6" s="3263"/>
      <c r="E6" s="1359"/>
    </row>
    <row r="7" spans="1:5" ht="14.25">
      <c r="A7" s="1359"/>
      <c r="B7" s="3257" t="s">
        <v>776</v>
      </c>
      <c r="C7" s="1365" t="str">
        <f>IF('数据-取费表'!B3="万元","总价（万元）","总价（元）")</f>
        <v>总价（元）</v>
      </c>
      <c r="D7" s="1366">
        <f ca="1">IF('数据-取费表'!E3="否",结果表!I102,'结果表 (1修多)'!I104)</f>
        <v>2113501</v>
      </c>
      <c r="E7" s="1359"/>
    </row>
    <row r="8" spans="1:5" ht="28.5">
      <c r="A8" s="1359"/>
      <c r="B8" s="3257"/>
      <c r="C8" s="1367" t="s">
        <v>1162</v>
      </c>
      <c r="D8" s="1368" t="str">
        <f ca="1">IF('数据-取费表'!B3="万元",NUMBERSTRING(INT(D7*10000),2)&amp;"元整",NUMBERSTRING(INT(D7),2)&amp;"元整")</f>
        <v>贰佰壹拾壹万叁仟伍佰零壹元整</v>
      </c>
      <c r="E8" s="1359"/>
    </row>
    <row r="9" spans="1:5" ht="14.25">
      <c r="A9" s="1359"/>
      <c r="B9" s="3257"/>
      <c r="C9" s="1369" t="s">
        <v>1259</v>
      </c>
      <c r="D9" s="1366">
        <f ca="1">IF('数据-取费表'!E3="否",结果表!I103,'结果表 (1修多)'!I105)</f>
        <v>16693</v>
      </c>
      <c r="E9" s="1359"/>
    </row>
    <row r="10" spans="1:5" ht="14.25">
      <c r="A10" s="1359"/>
      <c r="B10" s="326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6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64" t="str">
        <f>IF('数据-取费表'!E3="否",结果表!F110,'结果表 (1修多)'!F112)</f>
        <v>3.房地产抵押价值</v>
      </c>
      <c r="C15" s="1360" t="str">
        <f>C7</f>
        <v>总价（元）</v>
      </c>
      <c r="D15" s="1366">
        <f ca="1">IF('数据-取费表'!E3="否",结果表!I110,'结果表 (1修多)'!I112)</f>
        <v>2113501</v>
      </c>
      <c r="E15" s="1359"/>
    </row>
    <row r="16" spans="1:5" ht="28.5">
      <c r="A16" s="1359"/>
      <c r="B16" s="3264"/>
      <c r="C16" s="1367" t="s">
        <v>1162</v>
      </c>
      <c r="D16" s="1366" t="str">
        <f ca="1">IF('数据-取费表'!B3="万元",NUMBERSTRING(INT(D15*10000),2)&amp;"元整",NUMBERSTRING(INT(D15),2)&amp;"元整")</f>
        <v>贰佰壹拾壹万叁仟伍佰零壹元整</v>
      </c>
      <c r="E16" s="1359"/>
    </row>
    <row r="17" spans="1:5" ht="14.25">
      <c r="A17" s="1359"/>
      <c r="B17" s="3264"/>
      <c r="C17" s="1369" t="s">
        <v>1259</v>
      </c>
      <c r="D17" s="1366">
        <f ca="1">IF('数据-取费表'!E3="否",结果表!I111,'结果表 (1修多)'!I113)</f>
        <v>16693</v>
      </c>
      <c r="E17" s="1359"/>
    </row>
    <row r="18" spans="1:5" ht="14.25">
      <c r="A18" s="1359"/>
      <c r="B18" s="3264" t="str">
        <f>IF('数据-取费表'!E3="否",结果表!F112,'结果表 (1修多)'!F114)</f>
        <v>——</v>
      </c>
      <c r="C18" s="1360" t="str">
        <f>C7</f>
        <v>总价（元）</v>
      </c>
      <c r="D18" s="1366" t="str">
        <f>IF('数据-取费表'!E3="否",结果表!I112,'结果表 (1修多)'!I114)</f>
        <v>——</v>
      </c>
      <c r="E18" s="1359"/>
    </row>
    <row r="19" spans="1:5" ht="14.25">
      <c r="A19" s="1359"/>
      <c r="B19" s="3264"/>
      <c r="C19" s="1367" t="s">
        <v>1162</v>
      </c>
      <c r="D19" s="1366" t="e">
        <f>IF('数据-取费表'!B3="万元",NUMBERSTRING(INT(D18*10000),2)&amp;"元整",NUMBERSTRING(INT(D18),2)&amp;"元整")</f>
        <v>#VALUE!</v>
      </c>
      <c r="E19" s="1359"/>
    </row>
    <row r="20" spans="1:5" ht="14.25">
      <c r="A20" s="1359"/>
      <c r="B20" s="3264"/>
      <c r="C20" s="1369" t="s">
        <v>1259</v>
      </c>
      <c r="D20" s="1366" t="str">
        <f>IF('数据-取费表'!E3="否",结果表!I113,'结果表 (1修多)'!I115)</f>
        <v>——</v>
      </c>
      <c r="E20" s="1359"/>
    </row>
    <row r="21" spans="1:5" ht="14.25">
      <c r="A21" s="1359"/>
      <c r="B21" s="3257" t="str">
        <f>IF('数据-取费表'!E3="否",结果表!F114,'结果表 (1修多)'!F116)</f>
        <v>——</v>
      </c>
      <c r="C21" s="1365" t="str">
        <f>C7</f>
        <v>总价（元）</v>
      </c>
      <c r="D21" s="1366" t="str">
        <f>IF('数据-取费表'!E3="否",结果表!I114,'结果表 (1修多)'!I116)</f>
        <v>——</v>
      </c>
      <c r="E21" s="1359"/>
    </row>
    <row r="22" spans="1:5" ht="14.25">
      <c r="A22" s="1359"/>
      <c r="B22" s="3257"/>
      <c r="C22" s="1367" t="s">
        <v>1162</v>
      </c>
      <c r="D22" s="1368" t="e">
        <f>IF('数据-取费表'!B3="万元",NUMBERSTRING(INT(D21*10000),2)&amp;"元整",NUMBERSTRING(INT(D21),2)&amp;"元整")</f>
        <v>#VALUE!</v>
      </c>
      <c r="E22" s="1359"/>
    </row>
    <row r="23" spans="1:5" ht="15" thickBot="1">
      <c r="A23" s="1359"/>
      <c r="B23" s="325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49" t="s">
        <v>1260</v>
      </c>
      <c r="C25" s="3249"/>
      <c r="D25" s="3249"/>
      <c r="E25" s="1359"/>
    </row>
    <row r="26" spans="1:5" ht="18.75" customHeight="1" thickTop="1">
      <c r="A26" s="1359"/>
      <c r="B26" s="3252" t="s">
        <v>1161</v>
      </c>
      <c r="C26" s="3253"/>
      <c r="D26" s="3250" t="s">
        <v>1160</v>
      </c>
      <c r="E26" s="1359"/>
    </row>
    <row r="27" spans="1:5" ht="18.75" customHeight="1">
      <c r="A27" s="1359"/>
      <c r="B27" s="3254"/>
      <c r="C27" s="3255"/>
      <c r="D27" s="3251"/>
      <c r="E27" s="1359"/>
    </row>
    <row r="28" spans="1:5" ht="14.25">
      <c r="A28" s="1359"/>
      <c r="B28" s="3242" t="s">
        <v>776</v>
      </c>
      <c r="C28" s="1376" t="s">
        <v>1163</v>
      </c>
      <c r="D28" s="1377">
        <f ca="1">IF('数据-取费表'!E3="否",结果表!I102,'结果表 (1修多)'!I104)</f>
        <v>2113501</v>
      </c>
      <c r="E28" s="1359"/>
    </row>
    <row r="29" spans="1:5" ht="28.5">
      <c r="A29" s="1359"/>
      <c r="B29" s="3243"/>
      <c r="C29" s="1378" t="s">
        <v>1162</v>
      </c>
      <c r="D29" s="1379" t="str">
        <f ca="1">IF('数据-取费表'!B3="万元",NUMBERSTRING(INT(D28*10000),2)&amp;"元整",NUMBERSTRING(INT(D28),2)&amp;"元整")</f>
        <v>贰佰壹拾壹万叁仟伍佰零壹元整</v>
      </c>
      <c r="E29" s="1359"/>
    </row>
    <row r="30" spans="1:5" ht="14.25">
      <c r="A30" s="1359"/>
      <c r="B30" s="3244"/>
      <c r="C30" s="1369" t="s">
        <v>1165</v>
      </c>
      <c r="D30" s="1380">
        <f ca="1">IF('数据-取费表'!E3="否",结果表!I103,'结果表 (1修多)'!I105)</f>
        <v>16693</v>
      </c>
      <c r="E30" s="1359"/>
    </row>
    <row r="31" spans="1:5" ht="14.25">
      <c r="A31" s="1359"/>
      <c r="B31" s="3247" t="str">
        <f>B10</f>
        <v>2.估价师所知悉的法定优先受偿款</v>
      </c>
      <c r="C31" s="1381" t="s">
        <v>1164</v>
      </c>
      <c r="D31" s="1382">
        <f>IF('数据-取费表'!E3="否",结果表!I105,'结果表 (1修多)'!I107)</f>
        <v>0</v>
      </c>
      <c r="E31" s="1359"/>
    </row>
    <row r="32" spans="1:5" ht="14.25">
      <c r="A32" s="1359"/>
      <c r="B32" s="325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45" t="str">
        <f>B15</f>
        <v>3.房地产抵押价值</v>
      </c>
      <c r="C36" s="1381" t="str">
        <f>C28</f>
        <v>总价</v>
      </c>
      <c r="D36" s="1382">
        <f ca="1">IF('数据-取费表'!E3="否",结果表!I110,'结果表 (1修多)'!I112)</f>
        <v>2113501</v>
      </c>
      <c r="E36" s="1359"/>
    </row>
    <row r="37" spans="1:5" ht="28.5">
      <c r="A37" s="1359"/>
      <c r="B37" s="3245"/>
      <c r="C37" s="1378" t="s">
        <v>1162</v>
      </c>
      <c r="D37" s="1383" t="str">
        <f ca="1">IF('数据-取费表'!B3="万元",NUMBERSTRING(INT(D36*10000),2)&amp;"元整",NUMBERSTRING(INT(D36),2)&amp;"元整")</f>
        <v>贰佰壹拾壹万叁仟伍佰零壹元整</v>
      </c>
      <c r="E37" s="1359"/>
    </row>
    <row r="38" spans="1:5" ht="14.25">
      <c r="A38" s="1359"/>
      <c r="B38" s="3245"/>
      <c r="C38" s="1369" t="s">
        <v>1166</v>
      </c>
      <c r="D38" s="1380">
        <f ca="1">IF('数据-取费表'!E3="否",结果表!D113,'结果表 (1修多)'!D117)</f>
        <v>16693</v>
      </c>
      <c r="E38" s="1359"/>
    </row>
    <row r="39" spans="1:5" ht="14.25">
      <c r="A39" s="1359"/>
      <c r="B39" s="3246" t="str">
        <f>B18</f>
        <v>——</v>
      </c>
      <c r="C39" s="1381" t="str">
        <f>C28</f>
        <v>总价</v>
      </c>
      <c r="D39" s="1382" t="str">
        <f>IF('数据-取费表'!E3="否",结果表!I112,'结果表 (1修多)'!I114)</f>
        <v>——</v>
      </c>
      <c r="E39" s="1359"/>
    </row>
    <row r="40" spans="1:5" ht="14.25">
      <c r="A40" s="1359"/>
      <c r="B40" s="3246"/>
      <c r="C40" s="1378" t="s">
        <v>1162</v>
      </c>
      <c r="D40" s="1383" t="e">
        <f>IF('数据-取费表'!B3="万元",NUMBERSTRING(INT(D39*10000),2)&amp;"元整",NUMBERSTRING(INT(D39),2)&amp;"元整")</f>
        <v>#VALUE!</v>
      </c>
      <c r="E40" s="1359"/>
    </row>
    <row r="41" spans="1:5" ht="14.25">
      <c r="A41" s="1359"/>
      <c r="B41" s="3246"/>
      <c r="C41" s="1369" t="s">
        <v>1166</v>
      </c>
      <c r="D41" s="1380" t="str">
        <f>IF('数据-取费表'!E3="否",结果表!D115,'结果表 (1修多)'!D119)</f>
        <v>——</v>
      </c>
      <c r="E41" s="1359"/>
    </row>
    <row r="42" spans="1:5" ht="14.25">
      <c r="A42" s="1359"/>
      <c r="B42" s="3245" t="str">
        <f>B21</f>
        <v>——</v>
      </c>
      <c r="C42" s="1381" t="str">
        <f>C28</f>
        <v>总价</v>
      </c>
      <c r="D42" s="1382" t="str">
        <f>IF('数据-取费表'!E3="否",结果表!I114,'结果表 (1修多)'!I116)</f>
        <v>——</v>
      </c>
      <c r="E42" s="1359"/>
    </row>
    <row r="43" spans="1:5" ht="14.25">
      <c r="A43" s="1359"/>
      <c r="B43" s="3247"/>
      <c r="C43" s="1378" t="s">
        <v>1162</v>
      </c>
      <c r="D43" s="1384" t="e">
        <f>IF('数据-取费表'!B3="万元",NUMBERSTRING(INT(D42*10000),2)&amp;"元整",NUMBERSTRING(INT(D42),2)&amp;"元整")</f>
        <v>#VALUE!</v>
      </c>
      <c r="E43" s="1359"/>
    </row>
    <row r="44" spans="1:5" ht="15" thickBot="1">
      <c r="A44" s="1359"/>
      <c r="B44" s="3248"/>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3109</v>
      </c>
      <c r="C1" s="3152" t="s">
        <v>3110</v>
      </c>
      <c r="D1" s="3152" t="s">
        <v>3123</v>
      </c>
      <c r="E1" s="3152" t="s">
        <v>3124</v>
      </c>
      <c r="F1" s="3152" t="s">
        <v>3125</v>
      </c>
      <c r="G1" s="3152" t="s">
        <v>3111</v>
      </c>
      <c r="H1" s="3152" t="s">
        <v>2914</v>
      </c>
    </row>
    <row r="2" spans="2:8" ht="37.5" customHeight="1">
      <c r="B2" s="3154">
        <v>256100</v>
      </c>
      <c r="C2" s="3235">
        <f>B2/C5</f>
        <v>2022.7470184029698</v>
      </c>
      <c r="D2" s="3154">
        <v>387783</v>
      </c>
      <c r="E2" s="3154">
        <f>D2/C5</f>
        <v>3062.8149435273676</v>
      </c>
      <c r="F2" s="3158">
        <f ca="1">G2*C5</f>
        <v>2113500.73</v>
      </c>
      <c r="G2" s="3154">
        <f ca="1">结果表!G20</f>
        <v>16693</v>
      </c>
      <c r="H2" s="3155" t="s">
        <v>2912</v>
      </c>
    </row>
    <row r="3" spans="2:8" ht="42.75" customHeight="1">
      <c r="B3" s="3156">
        <f>B2/10000</f>
        <v>25.61</v>
      </c>
      <c r="C3" s="3156"/>
      <c r="D3" s="3156">
        <f t="shared" ref="D3:F3" si="0">D2/10000</f>
        <v>38.778300000000002</v>
      </c>
      <c r="E3" s="3156"/>
      <c r="F3" s="3156">
        <f t="shared" ca="1" si="0"/>
        <v>211.35007300000001</v>
      </c>
      <c r="G3" s="3156"/>
      <c r="H3" s="3155" t="s">
        <v>2913</v>
      </c>
    </row>
    <row r="5" spans="2:8">
      <c r="B5" s="3153" t="s">
        <v>2918</v>
      </c>
      <c r="C5" s="3153">
        <f>项目基本情况!C12</f>
        <v>126.61</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U16"/>
  <sheetViews>
    <sheetView topLeftCell="D1" workbookViewId="0">
      <selection activeCell="E1" sqref="E1"/>
    </sheetView>
  </sheetViews>
  <sheetFormatPr defaultRowHeight="12"/>
  <cols>
    <col min="1" max="2" width="9" style="3236"/>
    <col min="3" max="3" width="12.75" style="3236" bestFit="1" customWidth="1"/>
    <col min="4" max="16384" width="9" style="3236"/>
  </cols>
  <sheetData>
    <row r="1" spans="4:21">
      <c r="D1" s="3241"/>
      <c r="E1" s="3241"/>
      <c r="F1" s="3241"/>
      <c r="G1" s="3241"/>
      <c r="H1" s="3241"/>
      <c r="I1" s="3241"/>
      <c r="J1" s="3241"/>
      <c r="K1" s="3241"/>
      <c r="L1" s="3241"/>
      <c r="M1" s="3241"/>
      <c r="N1" s="3241"/>
      <c r="O1" s="3241"/>
      <c r="P1" s="3241"/>
      <c r="Q1" s="3241"/>
      <c r="R1" s="3241"/>
      <c r="S1" s="3241"/>
      <c r="T1" s="3241"/>
      <c r="U1" s="3241"/>
    </row>
    <row r="2" spans="4:21">
      <c r="D2" s="3241"/>
      <c r="E2" s="3241"/>
      <c r="F2" s="3241"/>
      <c r="G2" s="3241"/>
      <c r="H2" s="3241"/>
      <c r="I2" s="3241"/>
      <c r="J2" s="3241"/>
      <c r="K2" s="3241"/>
      <c r="L2" s="3241"/>
      <c r="M2" s="3241"/>
      <c r="N2" s="3241"/>
      <c r="O2" s="3241"/>
      <c r="P2" s="3241"/>
      <c r="Q2" s="3241"/>
      <c r="R2" s="3241"/>
      <c r="S2" s="3241"/>
      <c r="T2" s="3241"/>
      <c r="U2" s="3241"/>
    </row>
    <row r="3" spans="4:21">
      <c r="D3" s="3241"/>
      <c r="E3" s="3241"/>
      <c r="F3" s="3241"/>
      <c r="G3" s="3241"/>
      <c r="H3" s="3241"/>
      <c r="I3" s="3241"/>
      <c r="J3" s="3241"/>
      <c r="K3" s="3241"/>
      <c r="L3" s="3241"/>
      <c r="M3" s="3241"/>
      <c r="N3" s="3241"/>
      <c r="O3" s="3241"/>
      <c r="P3" s="3241"/>
      <c r="Q3" s="3241"/>
      <c r="R3" s="3241"/>
      <c r="S3" s="3241"/>
      <c r="T3" s="3241"/>
      <c r="U3" s="3241"/>
    </row>
    <row r="4" spans="4:21">
      <c r="D4" s="3241"/>
      <c r="E4" s="3241"/>
      <c r="F4" s="3241"/>
      <c r="G4" s="3241"/>
      <c r="H4" s="3241"/>
      <c r="I4" s="3241"/>
      <c r="J4" s="3241"/>
      <c r="K4" s="3241"/>
      <c r="L4" s="3241"/>
      <c r="M4" s="3241"/>
      <c r="N4" s="3241"/>
      <c r="O4" s="3241"/>
      <c r="P4" s="3241"/>
      <c r="Q4" s="3241"/>
      <c r="R4" s="3241"/>
      <c r="S4" s="3241"/>
      <c r="T4" s="3241"/>
      <c r="U4" s="3241"/>
    </row>
    <row r="5" spans="4:21">
      <c r="D5" s="3241"/>
      <c r="E5" s="3241"/>
      <c r="F5" s="3241"/>
      <c r="G5" s="3241"/>
      <c r="H5" s="3241"/>
      <c r="I5" s="3241"/>
      <c r="J5" s="3241"/>
      <c r="K5" s="3241"/>
      <c r="L5" s="3241"/>
      <c r="M5" s="3241"/>
      <c r="N5" s="3241"/>
      <c r="O5" s="3241"/>
      <c r="P5" s="3241"/>
      <c r="Q5" s="3241"/>
      <c r="R5" s="3241"/>
      <c r="S5" s="3241"/>
      <c r="T5" s="3241"/>
      <c r="U5" s="3241"/>
    </row>
    <row r="6" spans="4:21">
      <c r="D6" s="3241"/>
      <c r="E6" s="3241"/>
      <c r="F6" s="3241"/>
      <c r="G6" s="3241"/>
      <c r="H6" s="3241"/>
      <c r="I6" s="3241"/>
      <c r="J6" s="3241"/>
      <c r="K6" s="3241"/>
      <c r="L6" s="3241"/>
      <c r="M6" s="3241"/>
      <c r="N6" s="3241"/>
      <c r="O6" s="3241"/>
      <c r="P6" s="3241"/>
      <c r="Q6" s="3241"/>
      <c r="R6" s="3241"/>
      <c r="S6" s="3241"/>
      <c r="T6" s="3241"/>
      <c r="U6" s="3241"/>
    </row>
    <row r="7" spans="4:21">
      <c r="D7" s="3241"/>
      <c r="E7" s="3241"/>
      <c r="F7" s="3241"/>
      <c r="G7" s="3241"/>
      <c r="H7" s="3241"/>
      <c r="I7" s="3241"/>
      <c r="J7" s="3241"/>
      <c r="K7" s="3241"/>
      <c r="L7" s="3241"/>
      <c r="M7" s="3241"/>
      <c r="N7" s="3241"/>
      <c r="O7" s="3241"/>
      <c r="P7" s="3241"/>
      <c r="Q7" s="3241"/>
      <c r="R7" s="3241"/>
      <c r="S7" s="3241"/>
      <c r="T7" s="3241"/>
      <c r="U7" s="3241"/>
    </row>
    <row r="8" spans="4:21">
      <c r="D8" s="3241"/>
      <c r="E8" s="3241"/>
      <c r="F8" s="3241"/>
      <c r="G8" s="3241"/>
      <c r="H8" s="3241"/>
      <c r="I8" s="3241"/>
      <c r="J8" s="3241"/>
      <c r="K8" s="3241"/>
      <c r="L8" s="3241"/>
      <c r="M8" s="3241"/>
      <c r="N8" s="3241"/>
      <c r="O8" s="3241"/>
      <c r="P8" s="3241"/>
      <c r="Q8" s="3241"/>
      <c r="R8" s="3241"/>
      <c r="S8" s="3241"/>
      <c r="T8" s="3241"/>
      <c r="U8" s="3241"/>
    </row>
    <row r="9" spans="4:21">
      <c r="D9" s="3241"/>
      <c r="E9" s="3241"/>
      <c r="F9" s="3241"/>
      <c r="G9" s="3241"/>
      <c r="H9" s="3241"/>
      <c r="I9" s="3241"/>
      <c r="J9" s="3241"/>
      <c r="K9" s="3241"/>
      <c r="L9" s="3241"/>
      <c r="M9" s="3241"/>
      <c r="N9" s="3241"/>
      <c r="O9" s="3241"/>
      <c r="P9" s="3241"/>
      <c r="Q9" s="3241"/>
      <c r="R9" s="3241"/>
      <c r="S9" s="3241"/>
      <c r="T9" s="3241"/>
      <c r="U9" s="3241"/>
    </row>
    <row r="10" spans="4:21">
      <c r="D10" s="3241"/>
      <c r="E10" s="3241"/>
      <c r="F10" s="3241"/>
      <c r="G10" s="3241"/>
      <c r="H10" s="3241"/>
      <c r="I10" s="3241"/>
      <c r="J10" s="3241"/>
      <c r="K10" s="3241"/>
      <c r="L10" s="3241"/>
      <c r="M10" s="3241"/>
      <c r="N10" s="3241"/>
      <c r="O10" s="3241"/>
      <c r="P10" s="3241"/>
      <c r="Q10" s="3241"/>
      <c r="R10" s="3241"/>
      <c r="S10" s="3241"/>
      <c r="T10" s="3241"/>
      <c r="U10" s="3241"/>
    </row>
    <row r="11" spans="4:21" ht="21.75" customHeight="1">
      <c r="D11" s="3241"/>
      <c r="E11" s="3241"/>
      <c r="F11" s="3241"/>
      <c r="G11" s="3241"/>
      <c r="H11" s="3241"/>
      <c r="I11" s="3241"/>
      <c r="J11" s="3241"/>
      <c r="K11" s="3241"/>
      <c r="L11" s="3241"/>
      <c r="M11" s="3241"/>
      <c r="N11" s="3241"/>
      <c r="O11" s="3241"/>
      <c r="P11" s="3241"/>
      <c r="Q11" s="3241"/>
      <c r="R11" s="3241"/>
      <c r="S11" s="3241"/>
      <c r="T11" s="3241"/>
      <c r="U11" s="3241"/>
    </row>
    <row r="12" spans="4:21" ht="21.75" customHeight="1">
      <c r="D12" s="3241"/>
      <c r="E12" s="3241"/>
      <c r="F12" s="3241"/>
      <c r="G12" s="3241"/>
      <c r="H12" s="3241"/>
      <c r="I12" s="3241"/>
      <c r="J12" s="3241"/>
      <c r="K12" s="3241"/>
      <c r="L12" s="3241"/>
      <c r="M12" s="3241"/>
      <c r="N12" s="3241"/>
      <c r="O12" s="3241"/>
      <c r="P12" s="3241"/>
      <c r="Q12" s="3241"/>
      <c r="R12" s="3241"/>
      <c r="S12" s="3241"/>
      <c r="T12" s="3241"/>
      <c r="U12" s="3241"/>
    </row>
    <row r="13" spans="4:21" ht="21.75" customHeight="1">
      <c r="D13" s="3241"/>
      <c r="E13" s="3241"/>
      <c r="F13" s="3241"/>
      <c r="G13" s="3241"/>
      <c r="H13" s="3241"/>
      <c r="I13" s="3241"/>
      <c r="J13" s="3241"/>
      <c r="K13" s="3241"/>
      <c r="L13" s="3241"/>
      <c r="M13" s="3241"/>
      <c r="N13" s="3241"/>
      <c r="O13" s="3241"/>
      <c r="P13" s="3241"/>
      <c r="Q13" s="3241"/>
      <c r="R13" s="3241"/>
      <c r="S13" s="3241"/>
      <c r="T13" s="3241"/>
      <c r="U13" s="3241"/>
    </row>
    <row r="14" spans="4:21" ht="21.75" customHeight="1">
      <c r="D14" s="3241"/>
      <c r="E14" s="3241"/>
      <c r="F14" s="3241"/>
      <c r="G14" s="3241"/>
      <c r="H14" s="3241"/>
      <c r="I14" s="3241"/>
      <c r="J14" s="3241"/>
      <c r="K14" s="3241"/>
      <c r="L14" s="3241"/>
      <c r="M14" s="3241"/>
      <c r="N14" s="3241"/>
      <c r="O14" s="3241"/>
      <c r="P14" s="3241"/>
      <c r="Q14" s="3241"/>
      <c r="R14" s="3241"/>
      <c r="S14" s="3241"/>
      <c r="T14" s="3241"/>
      <c r="U14" s="3241"/>
    </row>
    <row r="15" spans="4:21" ht="21.75" customHeight="1">
      <c r="D15" s="3241"/>
      <c r="E15" s="3241"/>
      <c r="F15" s="3241"/>
      <c r="G15" s="3241"/>
      <c r="H15" s="3241"/>
      <c r="I15" s="3241"/>
      <c r="J15" s="3241"/>
      <c r="K15" s="3241"/>
      <c r="L15" s="3241"/>
      <c r="M15" s="3241"/>
      <c r="N15" s="3241"/>
      <c r="O15" s="3241"/>
      <c r="P15" s="3241"/>
      <c r="Q15" s="3241"/>
      <c r="R15" s="3241"/>
      <c r="S15" s="3241"/>
      <c r="T15" s="3241"/>
      <c r="U15" s="3241"/>
    </row>
    <row r="16" spans="4:21">
      <c r="D16" s="3241"/>
      <c r="E16" s="3241"/>
      <c r="F16" s="3241"/>
      <c r="G16" s="3241"/>
      <c r="H16" s="3241"/>
      <c r="I16" s="3241"/>
      <c r="J16" s="3241"/>
      <c r="K16" s="3241"/>
      <c r="L16" s="3241"/>
      <c r="M16" s="3241"/>
      <c r="N16" s="3241"/>
      <c r="O16" s="3241"/>
      <c r="P16" s="3241"/>
      <c r="Q16" s="3241"/>
      <c r="R16" s="3241"/>
      <c r="S16" s="3241"/>
      <c r="T16" s="3241"/>
      <c r="U16" s="3241"/>
    </row>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1" t="str">
        <f>IF(项目基本情况!D5="房地产市场价值","估价结果一览表","结果表-2")</f>
        <v>估价结果一览表</v>
      </c>
      <c r="B1" s="3271"/>
      <c r="C1" s="3271"/>
      <c r="D1" s="3271"/>
      <c r="E1" s="3271"/>
      <c r="F1" s="3271"/>
      <c r="G1" s="3271"/>
      <c r="H1" s="3271"/>
      <c r="I1" s="3271"/>
    </row>
    <row r="2" spans="1:9" ht="30" customHeight="1" thickTop="1">
      <c r="A2" s="3272" t="s">
        <v>1261</v>
      </c>
      <c r="B2" s="3272" t="s">
        <v>1262</v>
      </c>
      <c r="C2" s="3272" t="s">
        <v>1263</v>
      </c>
      <c r="D2" s="3272" t="str">
        <f>IF('数据-取费表'!E3="否",结果表!D119,'结果表 (1修多)'!D123)</f>
        <v>出让国有建设用地使用权价值</v>
      </c>
      <c r="E2" s="3272"/>
      <c r="F2" s="3272" t="s">
        <v>1264</v>
      </c>
      <c r="G2" s="3272"/>
      <c r="H2" s="3272" t="s">
        <v>1265</v>
      </c>
      <c r="I2" s="3272"/>
    </row>
    <row r="3" spans="1:9" ht="15">
      <c r="A3" s="3265"/>
      <c r="B3" s="3265"/>
      <c r="C3" s="3265"/>
      <c r="D3" s="818" t="s">
        <v>1266</v>
      </c>
      <c r="E3" s="818" t="s">
        <v>1267</v>
      </c>
      <c r="F3" s="818" t="s">
        <v>1266</v>
      </c>
      <c r="G3" s="818" t="s">
        <v>1268</v>
      </c>
      <c r="H3" s="818" t="s">
        <v>1266</v>
      </c>
      <c r="I3" s="818" t="s">
        <v>1268</v>
      </c>
    </row>
    <row r="4" spans="1:9" ht="46.5" customHeight="1">
      <c r="A4" s="818" t="str">
        <f>项目基本情况!I1</f>
        <v>北京市昌平区回龙观镇龙跃苑东四区8号楼房地产</v>
      </c>
      <c r="B4" s="818">
        <f>结果表!B121</f>
        <v>126.61</v>
      </c>
      <c r="C4" s="818">
        <f>结果表!C121</f>
        <v>0</v>
      </c>
      <c r="D4" s="818">
        <f ca="1">IF('数据-取费表'!E3="否",结果表!D121,'结果表 (1修多)'!D125)</f>
        <v>1549200</v>
      </c>
      <c r="E4" s="818">
        <f ca="1">IF('数据-取费表'!E3="否",结果表!E121,'结果表 (1修多)'!E125)</f>
        <v>12236</v>
      </c>
      <c r="F4" s="818">
        <f ca="1">IF('数据-取费表'!E3="否",结果表!F121,'结果表 (1修多)'!F125)</f>
        <v>564301</v>
      </c>
      <c r="G4" s="818">
        <f ca="1">IF('数据-取费表'!E3="否",结果表!G121,'结果表 (1修多)'!G125)</f>
        <v>4457</v>
      </c>
      <c r="H4" s="818">
        <f ca="1">IF('数据-取费表'!E3="否",结果表!H121,'结果表 (1修多)'!H125)</f>
        <v>2113501</v>
      </c>
      <c r="I4" s="818">
        <f ca="1">IF('数据-取费表'!E3="否",结果表!I121,'结果表 (1修多)'!I125)</f>
        <v>16693</v>
      </c>
    </row>
    <row r="5" spans="1:9" ht="15">
      <c r="A5" s="3265" t="s">
        <v>1269</v>
      </c>
      <c r="B5" s="3265"/>
      <c r="C5" s="3265"/>
      <c r="D5" s="3266" t="str">
        <f ca="1">IF('数据-取费表'!E3="否",结果表!D122,'结果表 (1修多)'!D126)</f>
        <v>壹佰伍拾肆万玖仟贰佰元整</v>
      </c>
      <c r="E5" s="3266"/>
      <c r="F5" s="3266" t="str">
        <f ca="1">IF('数据-取费表'!E3="否",结果表!F122,'结果表 (1修多)'!F126)</f>
        <v>伍拾陆万肆仟叁佰零壹元整</v>
      </c>
      <c r="G5" s="3266"/>
      <c r="H5" s="3266" t="str">
        <f ca="1">IF('数据-取费表'!E3="否",结果表!H122,'结果表 (1修多)'!H126)</f>
        <v>贰佰壹拾壹万叁仟伍佰零壹元整</v>
      </c>
      <c r="I5" s="3266"/>
    </row>
    <row r="6" spans="1:9" ht="15.75">
      <c r="A6" s="3267" t="str">
        <f>IF('数据-取费表'!E3="否",结果表!A123,'结果表 (1修多)'!A127)</f>
        <v>——</v>
      </c>
      <c r="B6" s="3267"/>
      <c r="C6" s="3267"/>
      <c r="D6" s="3267">
        <f>IF('数据-取费表'!E3="否",结果表!D123,'结果表 (1修多)'!D127)</f>
        <v>0</v>
      </c>
      <c r="E6" s="3267"/>
      <c r="F6" s="3267"/>
      <c r="G6" s="3267"/>
      <c r="H6" s="3267"/>
      <c r="I6" s="3267"/>
    </row>
    <row r="7" spans="1:9" ht="15">
      <c r="A7" s="3265" t="s">
        <v>1269</v>
      </c>
      <c r="B7" s="3265"/>
      <c r="C7" s="3265"/>
      <c r="D7" s="3273">
        <f>IF('数据-取费表'!E3="否",结果表!D124,'结果表 (1修多)'!D128)</f>
        <v>0</v>
      </c>
      <c r="E7" s="3274"/>
      <c r="F7" s="3274"/>
      <c r="G7" s="3274"/>
      <c r="H7" s="3274"/>
      <c r="I7" s="3275"/>
    </row>
    <row r="8" spans="1:9" ht="15.75">
      <c r="A8" s="3267" t="str">
        <f>IF('数据-取费表'!E3="否",结果表!A125,'结果表 (1修多)'!A129)</f>
        <v>——</v>
      </c>
      <c r="B8" s="3267"/>
      <c r="C8" s="3267"/>
      <c r="D8" s="3267">
        <f ca="1">IF('数据-取费表'!E3="否",结果表!D125,'结果表 (1修多)'!D129)</f>
        <v>2113501</v>
      </c>
      <c r="E8" s="3267"/>
      <c r="F8" s="3267"/>
      <c r="G8" s="3267"/>
      <c r="H8" s="3267"/>
      <c r="I8" s="3267"/>
    </row>
    <row r="9" spans="1:9" ht="15">
      <c r="A9" s="3265" t="s">
        <v>1269</v>
      </c>
      <c r="B9" s="3265"/>
      <c r="C9" s="3265"/>
      <c r="D9" s="3266">
        <f ca="1">IF('数据-取费表'!E3="否",结果表!D126,'结果表 (1修多)'!D130)</f>
        <v>16693</v>
      </c>
      <c r="E9" s="3266"/>
      <c r="F9" s="3266"/>
      <c r="G9" s="3266"/>
      <c r="H9" s="3266"/>
      <c r="I9" s="3266"/>
    </row>
    <row r="10" spans="1:9" ht="15.75">
      <c r="A10" s="3267" t="str">
        <f>IF('数据-取费表'!E3="否",结果表!A127,'结果表 (1修多)'!A131)</f>
        <v>——</v>
      </c>
      <c r="B10" s="3267"/>
      <c r="C10" s="3267"/>
      <c r="D10" s="3267" t="str">
        <f>IF('数据-取费表'!E3="否",结果表!D127,'结果表 (1修多)'!D130)</f>
        <v>——</v>
      </c>
      <c r="E10" s="3267"/>
      <c r="F10" s="3267"/>
      <c r="G10" s="3267"/>
      <c r="H10" s="3267"/>
      <c r="I10" s="3267"/>
    </row>
    <row r="11" spans="1:9" ht="15">
      <c r="A11" s="3265" t="s">
        <v>1269</v>
      </c>
      <c r="B11" s="3265"/>
      <c r="C11" s="3265"/>
      <c r="D11" s="3266" t="str">
        <f>IF('数据-取费表'!E3="否",结果表!D128,'结果表 (1修多)'!D132)</f>
        <v>——</v>
      </c>
      <c r="E11" s="3266"/>
      <c r="F11" s="3266"/>
      <c r="G11" s="3266"/>
      <c r="H11" s="3266"/>
      <c r="I11" s="3266"/>
    </row>
    <row r="12" spans="1:9" ht="15.75">
      <c r="A12" s="3267" t="str">
        <f>IF('数据-取费表'!E3="否",结果表!A129,'结果表 (1修多)'!A133)</f>
        <v>——</v>
      </c>
      <c r="B12" s="3267"/>
      <c r="C12" s="3267"/>
      <c r="D12" s="3267" t="str">
        <f>IF('数据-取费表'!E3="否",结果表!D129,'结果表 (1修多)'!D133)</f>
        <v>——</v>
      </c>
      <c r="E12" s="3267"/>
      <c r="F12" s="3267"/>
      <c r="G12" s="3267"/>
      <c r="H12" s="3267"/>
      <c r="I12" s="3267"/>
    </row>
    <row r="13" spans="1:9" ht="15.75" thickBot="1">
      <c r="A13" s="3268" t="s">
        <v>1269</v>
      </c>
      <c r="B13" s="3268"/>
      <c r="C13" s="3268"/>
      <c r="D13" s="3269">
        <f>IF('数据-取费表'!E3="否",结果表!D130,'结果表 (1修多)'!D134)</f>
        <v>0</v>
      </c>
      <c r="E13" s="3269"/>
      <c r="F13" s="3269"/>
      <c r="G13" s="3269"/>
      <c r="H13" s="3269"/>
      <c r="I13" s="3269"/>
    </row>
    <row r="14" spans="1:9" ht="15" thickTop="1">
      <c r="A14" s="3270" t="str">
        <f>IF('数据-取费表'!E3="否",结果表!A131,'结果表 (1修多)'!A135)</f>
        <v>单位：平方米、元、元/平方米（币种：人民币）</v>
      </c>
      <c r="B14" s="3270"/>
      <c r="C14" s="3270"/>
      <c r="D14" s="3270"/>
      <c r="E14" s="3270"/>
      <c r="F14" s="3270"/>
      <c r="G14" s="3270"/>
      <c r="H14" s="3270"/>
      <c r="I14" s="327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7" t="s">
        <v>1282</v>
      </c>
      <c r="B1" s="3277"/>
      <c r="C1" s="3277"/>
      <c r="D1" s="3277"/>
    </row>
    <row r="2" spans="1:4" ht="18">
      <c r="A2" s="3276" t="s">
        <v>1271</v>
      </c>
      <c r="B2" s="3276"/>
      <c r="C2" s="3276"/>
      <c r="D2" s="3276"/>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6" t="s">
        <v>1276</v>
      </c>
      <c r="B7" s="3276"/>
      <c r="C7" s="3276"/>
      <c r="D7" s="3276"/>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8" t="s">
        <v>2736</v>
      </c>
      <c r="B12" s="3279"/>
      <c r="C12" s="3279"/>
      <c r="D12" s="3279"/>
    </row>
    <row r="13" spans="1:4" ht="15.75">
      <c r="A13" s="32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9"/>
      <c r="C13" s="3279"/>
      <c r="D13" s="3279"/>
    </row>
    <row r="14" spans="1:4" ht="30" customHeight="1">
      <c r="A14" s="3278" t="str">
        <f>IF(项目基本情况!D4="抵押","3.抵押双方在办理抵押登记手续时，应使用本公司出具的正式《不动产估价报告书》，特提醒报告使用者注意。","——")</f>
        <v>——</v>
      </c>
      <c r="B14" s="3279"/>
      <c r="C14" s="3279"/>
      <c r="D14" s="3279"/>
    </row>
    <row r="15" spans="1:4" ht="15.75" customHeight="1">
      <c r="A15" s="3278" t="str">
        <f>IF(项目基本情况!D4="抵押","4.本次评估估价师所知悉的法定优先受偿款情况说明如下：","——")</f>
        <v>——</v>
      </c>
      <c r="B15" s="3279"/>
      <c r="C15" s="3279"/>
      <c r="D15" s="3279"/>
    </row>
    <row r="16" spans="1:4" ht="75" customHeight="1">
      <c r="A16" s="3278" t="str">
        <f>IF(项目基本情况!D4="抵押",CONCATENATE(项目基本情况!J13,项目基本情况!J14,项目基本情况!J15),"——")</f>
        <v>——</v>
      </c>
      <c r="B16" s="3278"/>
      <c r="C16" s="3278"/>
      <c r="D16" s="3278"/>
    </row>
    <row r="17" spans="1:4" ht="63.75" customHeight="1">
      <c r="A17" s="3280" t="s">
        <v>1284</v>
      </c>
      <c r="B17" s="3280"/>
      <c r="C17" s="3280"/>
      <c r="D17" s="3280"/>
    </row>
    <row r="18" spans="1:4" ht="15.75" customHeight="1">
      <c r="A18" s="3278" t="str">
        <f>IF(项目基本情况!D4="抵押",结果表!L106,"——")</f>
        <v>——</v>
      </c>
      <c r="B18" s="3278"/>
      <c r="C18" s="3278"/>
      <c r="D18" s="3278"/>
    </row>
    <row r="19" spans="1:4" ht="46.5" customHeight="1">
      <c r="A19" s="32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8"/>
      <c r="C19" s="3278"/>
      <c r="D19" s="3278"/>
    </row>
    <row r="20" spans="1:4" ht="15">
      <c r="A20" s="3280" t="s">
        <v>2737</v>
      </c>
      <c r="B20" s="3280"/>
      <c r="C20" s="3280"/>
      <c r="D20" s="3280"/>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6" t="s">
        <v>1363</v>
      </c>
      <c r="B15" s="3281" t="s">
        <v>1364</v>
      </c>
      <c r="C15" s="3282"/>
    </row>
    <row r="16" spans="1:7" ht="14.25">
      <c r="A16" s="3287"/>
      <c r="B16" s="3281" t="s">
        <v>1365</v>
      </c>
      <c r="C16" s="3282"/>
    </row>
    <row r="17" spans="1:3" ht="14.25">
      <c r="A17" s="3287"/>
      <c r="B17" s="3281" t="s">
        <v>1366</v>
      </c>
      <c r="C17" s="3282"/>
    </row>
    <row r="18" spans="1:3" ht="14.25">
      <c r="A18" s="3288"/>
      <c r="B18" s="3283" t="s">
        <v>1367</v>
      </c>
      <c r="C18" s="3282"/>
    </row>
    <row r="19" spans="1:3" ht="14.25">
      <c r="A19" s="1412" t="s">
        <v>1368</v>
      </c>
      <c r="B19" s="1413"/>
      <c r="C19" s="1414"/>
    </row>
    <row r="20" spans="1:3" ht="14.25">
      <c r="A20" s="3284" t="s">
        <v>1369</v>
      </c>
      <c r="B20" s="3283" t="s">
        <v>1370</v>
      </c>
      <c r="C20" s="3282"/>
    </row>
    <row r="21" spans="1:3" ht="14.25">
      <c r="A21" s="3284"/>
      <c r="B21" s="3283" t="s">
        <v>1371</v>
      </c>
      <c r="C21" s="3282"/>
    </row>
    <row r="22" spans="1:3" ht="14.25">
      <c r="A22" s="3284"/>
      <c r="B22" s="3283" t="s">
        <v>1372</v>
      </c>
      <c r="C22" s="3282"/>
    </row>
    <row r="23" spans="1:3" ht="14.25">
      <c r="A23" s="3284"/>
      <c r="B23" s="3285" t="s">
        <v>1373</v>
      </c>
      <c r="C23" s="1415" t="s">
        <v>1374</v>
      </c>
    </row>
    <row r="24" spans="1:3" ht="14.25">
      <c r="A24" s="3284"/>
      <c r="B24" s="3285"/>
      <c r="C24" s="1415" t="s">
        <v>1375</v>
      </c>
    </row>
    <row r="25" spans="1:3" ht="14.25">
      <c r="A25" s="3284"/>
      <c r="B25" s="3285"/>
      <c r="C25" s="1415" t="s">
        <v>1376</v>
      </c>
    </row>
    <row r="26" spans="1:3" ht="14.25">
      <c r="A26" s="3284"/>
      <c r="B26" s="3285"/>
      <c r="C26" s="1415" t="s">
        <v>1377</v>
      </c>
    </row>
    <row r="27" spans="1:3" ht="14.25">
      <c r="A27" s="3284"/>
      <c r="B27" s="3285"/>
      <c r="C27" s="1415" t="s">
        <v>1378</v>
      </c>
    </row>
    <row r="28" spans="1:3" ht="14.25">
      <c r="A28" s="3284"/>
      <c r="B28" s="3285"/>
      <c r="C28" s="1415" t="s">
        <v>1379</v>
      </c>
    </row>
    <row r="29" spans="1:3" ht="14.25">
      <c r="A29" s="3284"/>
      <c r="B29" s="3285"/>
      <c r="C29" s="1415" t="s">
        <v>1380</v>
      </c>
    </row>
    <row r="30" spans="1:3" ht="14.25">
      <c r="A30" s="3284"/>
      <c r="B30" s="3285"/>
      <c r="C30" s="1415" t="s">
        <v>1381</v>
      </c>
    </row>
    <row r="31" spans="1:3" ht="14.25">
      <c r="A31" s="3284"/>
      <c r="B31" s="3285"/>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44278</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9" t="s">
        <v>762</v>
      </c>
      <c r="B17" s="3289"/>
      <c r="C17" s="3289"/>
      <c r="D17" s="3289"/>
      <c r="E17" s="3289"/>
      <c r="F17" s="3289"/>
      <c r="G17" s="3289"/>
      <c r="H17" s="3289"/>
    </row>
    <row r="18" spans="1:8" ht="24" customHeight="1">
      <c r="A18" s="3290" t="s">
        <v>763</v>
      </c>
      <c r="B18" s="3290"/>
      <c r="C18" s="3290"/>
      <c r="D18" s="3063"/>
      <c r="E18" s="3291" t="s">
        <v>764</v>
      </c>
      <c r="F18" s="3290"/>
      <c r="G18" s="3290"/>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昌平区回龙观镇龙跃苑东四区8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本次估价的“房地产价值”是指在正常市场情况下，在价值时点2013年6月18日，估价对象规划用途为，假定未设立法定优先受偿款下的房地产市场价值。</v>
      </c>
    </row>
    <row r="54" spans="1:4">
      <c r="A54" s="3292"/>
      <c r="B54" s="9" t="s">
        <v>1519</v>
      </c>
      <c r="C54" s="9" t="s">
        <v>1520</v>
      </c>
    </row>
    <row r="55" spans="1:4">
      <c r="A55" s="3292"/>
      <c r="B55" s="9" t="s">
        <v>1521</v>
      </c>
      <c r="C55" s="9" t="s">
        <v>1522</v>
      </c>
    </row>
    <row r="56" spans="1:4">
      <c r="A56" s="3292"/>
      <c r="B56" s="9" t="s">
        <v>1523</v>
      </c>
      <c r="C56" s="9" t="s">
        <v>1524</v>
      </c>
    </row>
    <row r="57" spans="1:4">
      <c r="A57" s="3292"/>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2021-03-23T02:01:00Z</dcterms:modified>
</cp:coreProperties>
</file>